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19-2021" sheetId="3" r:id="rId1"/>
    <sheet name="2020-2021" sheetId="4" r:id="rId2"/>
  </sheets>
  <calcPr calcId="152511" refMode="R1C1"/>
</workbook>
</file>

<file path=xl/calcChain.xml><?xml version="1.0" encoding="utf-8"?>
<calcChain xmlns="http://schemas.openxmlformats.org/spreadsheetml/2006/main">
  <c r="J51" i="4" l="1"/>
  <c r="I34" i="4"/>
  <c r="J4" i="4"/>
  <c r="J3" i="4" s="1"/>
  <c r="I32" i="4"/>
  <c r="J20" i="4"/>
  <c r="I4" i="4" l="1"/>
  <c r="H4" i="4"/>
  <c r="H3" i="4" s="1"/>
  <c r="F4" i="4"/>
  <c r="F3" i="4" s="1"/>
  <c r="F19" i="4"/>
  <c r="G19" i="4" s="1"/>
  <c r="F20" i="4"/>
  <c r="F21" i="4"/>
  <c r="G21" i="4" s="1"/>
  <c r="F31" i="4"/>
  <c r="E51" i="4"/>
  <c r="H56" i="4"/>
  <c r="G56" i="4"/>
  <c r="J55" i="4"/>
  <c r="I55" i="4"/>
  <c r="H55" i="4"/>
  <c r="G55" i="4"/>
  <c r="G54" i="4"/>
  <c r="G53" i="4"/>
  <c r="I51" i="4"/>
  <c r="G51" i="4"/>
  <c r="G50" i="4"/>
  <c r="I49" i="4"/>
  <c r="G49" i="4"/>
  <c r="H48" i="4"/>
  <c r="G48" i="4"/>
  <c r="J47" i="4"/>
  <c r="I47" i="4"/>
  <c r="G47" i="4"/>
  <c r="G46" i="4"/>
  <c r="J45" i="4"/>
  <c r="I45" i="4"/>
  <c r="G45" i="4"/>
  <c r="H44" i="4"/>
  <c r="G44" i="4"/>
  <c r="I43" i="4"/>
  <c r="G43" i="4"/>
  <c r="I42" i="4"/>
  <c r="G42" i="4"/>
  <c r="I41" i="4"/>
  <c r="G41" i="4"/>
  <c r="I40" i="4"/>
  <c r="G40" i="4"/>
  <c r="H39" i="4"/>
  <c r="G39" i="4"/>
  <c r="G38" i="4"/>
  <c r="G37" i="4"/>
  <c r="H36" i="4"/>
  <c r="H31" i="4" s="1"/>
  <c r="G36" i="4"/>
  <c r="I35" i="4"/>
  <c r="J35" i="4" s="1"/>
  <c r="G35" i="4"/>
  <c r="J34" i="4"/>
  <c r="G34" i="4"/>
  <c r="J33" i="4"/>
  <c r="G33" i="4"/>
  <c r="J32" i="4"/>
  <c r="G32" i="4"/>
  <c r="G31" i="4"/>
  <c r="G30" i="4"/>
  <c r="I29" i="4"/>
  <c r="G29" i="4"/>
  <c r="G27" i="4"/>
  <c r="G26" i="4"/>
  <c r="I25" i="4"/>
  <c r="G25" i="4"/>
  <c r="I24" i="4"/>
  <c r="I21" i="4" s="1"/>
  <c r="G24" i="4"/>
  <c r="G23" i="4"/>
  <c r="G22" i="4"/>
  <c r="J21" i="4"/>
  <c r="H21" i="4"/>
  <c r="I20" i="4"/>
  <c r="H20" i="4"/>
  <c r="G20" i="4"/>
  <c r="G17" i="4"/>
  <c r="J16" i="4"/>
  <c r="I16" i="4"/>
  <c r="H16" i="4"/>
  <c r="G16" i="4"/>
  <c r="I15" i="4"/>
  <c r="G15" i="4"/>
  <c r="H14" i="4"/>
  <c r="G14" i="4"/>
  <c r="J13" i="4"/>
  <c r="I13" i="4"/>
  <c r="H13" i="4"/>
  <c r="G13" i="4"/>
  <c r="H12" i="4"/>
  <c r="G12" i="4"/>
  <c r="H11" i="4"/>
  <c r="G11" i="4"/>
  <c r="H10" i="4"/>
  <c r="G10" i="4"/>
  <c r="J9" i="4"/>
  <c r="I9" i="4"/>
  <c r="H9" i="4"/>
  <c r="G9" i="4"/>
  <c r="J8" i="4"/>
  <c r="I8" i="4"/>
  <c r="I3" i="4" s="1"/>
  <c r="H8" i="4"/>
  <c r="G8" i="4"/>
  <c r="H6" i="4"/>
  <c r="G6" i="4"/>
  <c r="G5" i="4"/>
  <c r="G4" i="4"/>
  <c r="F18" i="4" l="1"/>
  <c r="F58" i="4" s="1"/>
  <c r="J31" i="4"/>
  <c r="J18" i="4" s="1"/>
  <c r="H18" i="4"/>
  <c r="G18" i="4"/>
  <c r="I31" i="4"/>
  <c r="I18" i="4" s="1"/>
  <c r="I58" i="4" s="1"/>
  <c r="J50" i="3"/>
  <c r="J44" i="3"/>
  <c r="I48" i="3"/>
  <c r="I44" i="3"/>
  <c r="I25" i="3"/>
  <c r="J58" i="4" l="1"/>
  <c r="H58" i="4"/>
  <c r="G3" i="4"/>
  <c r="I28" i="3"/>
  <c r="I39" i="3"/>
  <c r="I41" i="3"/>
  <c r="I50" i="3"/>
  <c r="I40" i="3"/>
  <c r="J4" i="3"/>
  <c r="J9" i="3"/>
  <c r="J8" i="3"/>
  <c r="J32" i="3"/>
  <c r="J33" i="3"/>
  <c r="J31" i="3"/>
  <c r="I24" i="3"/>
  <c r="I53" i="3"/>
  <c r="I33" i="3"/>
  <c r="I34" i="3"/>
  <c r="J34" i="3" s="1"/>
  <c r="I42" i="3" l="1"/>
  <c r="J54" i="3" l="1"/>
  <c r="J30" i="3"/>
  <c r="J46" i="3"/>
  <c r="J20" i="3"/>
  <c r="J21" i="3"/>
  <c r="J13" i="3"/>
  <c r="J3" i="3" s="1"/>
  <c r="J16" i="3"/>
  <c r="J18" i="3" l="1"/>
  <c r="J57" i="3" s="1"/>
  <c r="I46" i="3"/>
  <c r="I8" i="3"/>
  <c r="I9" i="3"/>
  <c r="I13" i="3"/>
  <c r="I16" i="3"/>
  <c r="I4" i="3"/>
  <c r="I15" i="3" l="1"/>
  <c r="I3" i="3" s="1"/>
  <c r="I54" i="3" l="1"/>
  <c r="I21" i="3"/>
  <c r="I20" i="3"/>
  <c r="I30" i="3" l="1"/>
  <c r="H21" i="3"/>
  <c r="I18" i="3" l="1"/>
  <c r="I57" i="3" s="1"/>
  <c r="H14" i="3"/>
  <c r="H54" i="3"/>
  <c r="H8" i="3"/>
  <c r="H9" i="3"/>
  <c r="E50" i="3" l="1"/>
  <c r="F30" i="3" s="1"/>
  <c r="F4" i="3"/>
  <c r="F3" i="3" s="1"/>
  <c r="G5" i="3" l="1"/>
  <c r="G10" i="3"/>
  <c r="G14" i="3"/>
  <c r="G34" i="3"/>
  <c r="G38" i="3"/>
  <c r="G52" i="3"/>
  <c r="G55" i="3"/>
  <c r="G54" i="3"/>
  <c r="G53" i="3"/>
  <c r="G50" i="3"/>
  <c r="G49" i="3"/>
  <c r="G48" i="3"/>
  <c r="G47" i="3"/>
  <c r="G46" i="3"/>
  <c r="G45" i="3"/>
  <c r="G44" i="3"/>
  <c r="G43" i="3"/>
  <c r="G42" i="3"/>
  <c r="G41" i="3"/>
  <c r="G40" i="3"/>
  <c r="G39" i="3"/>
  <c r="G37" i="3"/>
  <c r="G36" i="3"/>
  <c r="G35" i="3"/>
  <c r="G33" i="3"/>
  <c r="G32" i="3"/>
  <c r="G31" i="3"/>
  <c r="G29" i="3"/>
  <c r="G28" i="3"/>
  <c r="G27" i="3"/>
  <c r="G26" i="3"/>
  <c r="G25" i="3"/>
  <c r="G24" i="3"/>
  <c r="G23" i="3"/>
  <c r="F21" i="3"/>
  <c r="G21" i="3" s="1"/>
  <c r="F20" i="3"/>
  <c r="G20" i="3" s="1"/>
  <c r="F19" i="3"/>
  <c r="G19" i="3" s="1"/>
  <c r="G17" i="3"/>
  <c r="G16" i="3"/>
  <c r="G15" i="3"/>
  <c r="G13" i="3"/>
  <c r="G12" i="3"/>
  <c r="G11" i="3"/>
  <c r="G9" i="3"/>
  <c r="G8" i="3"/>
  <c r="G6" i="3"/>
  <c r="G3" i="3"/>
  <c r="G22" i="3" l="1"/>
  <c r="G30" i="3"/>
  <c r="G4" i="3"/>
  <c r="F18" i="3" l="1"/>
  <c r="F57" i="3" l="1"/>
  <c r="G18" i="3"/>
  <c r="H35" i="3" l="1"/>
  <c r="H38" i="3"/>
  <c r="H43" i="3"/>
  <c r="H47" i="3"/>
  <c r="H55" i="3"/>
  <c r="H20" i="3"/>
  <c r="H13" i="3"/>
  <c r="H16" i="3"/>
  <c r="H10" i="3"/>
  <c r="H11" i="3"/>
  <c r="H12" i="3"/>
  <c r="H6" i="3"/>
  <c r="H4" i="3" l="1"/>
  <c r="H30" i="3"/>
  <c r="H18" i="3" s="1"/>
  <c r="H3" i="3"/>
  <c r="H57" i="3" l="1"/>
</calcChain>
</file>

<file path=xl/comments1.xml><?xml version="1.0" encoding="utf-8"?>
<comments xmlns="http://schemas.openxmlformats.org/spreadsheetml/2006/main">
  <authors>
    <author>Автор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плюс Козик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плюс Козик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Н.Г.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плюс Козик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плюс Козик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Н.Г.</t>
        </r>
      </text>
    </comment>
  </commentList>
</comments>
</file>

<file path=xl/sharedStrings.xml><?xml version="1.0" encoding="utf-8"?>
<sst xmlns="http://schemas.openxmlformats.org/spreadsheetml/2006/main" count="240" uniqueCount="129">
  <si>
    <t>№</t>
  </si>
  <si>
    <t>Наименование</t>
  </si>
  <si>
    <t>1.1</t>
  </si>
  <si>
    <t>Выручка по коммунальным услугам</t>
  </si>
  <si>
    <t>1.1.1</t>
  </si>
  <si>
    <t>1.1.2</t>
  </si>
  <si>
    <t>Выручка по текущему ремонту</t>
  </si>
  <si>
    <t>1.1.3</t>
  </si>
  <si>
    <t>Выручка по содержанию жилья</t>
  </si>
  <si>
    <t>1.1.4</t>
  </si>
  <si>
    <t>Выручка ГВ сод. Общ. Имущ</t>
  </si>
  <si>
    <t>1.1.5</t>
  </si>
  <si>
    <t>Выручка ХВ сод. Общ. Имущ</t>
  </si>
  <si>
    <t>1.1.6</t>
  </si>
  <si>
    <t>Выручка ЭЭ на общ. Имущ</t>
  </si>
  <si>
    <t>1.1.7</t>
  </si>
  <si>
    <t>Выручка по содержанию лифтов</t>
  </si>
  <si>
    <t>2</t>
  </si>
  <si>
    <t>РАСХОДЫ</t>
  </si>
  <si>
    <t>2.1</t>
  </si>
  <si>
    <t>2.2</t>
  </si>
  <si>
    <t>ТЕКУЩИЙ РЕМОНТ</t>
  </si>
  <si>
    <t>Ремонт межпанельных швов</t>
  </si>
  <si>
    <t>2.3</t>
  </si>
  <si>
    <t>2.3.1</t>
  </si>
  <si>
    <t>2.3.2</t>
  </si>
  <si>
    <t>2.3.3</t>
  </si>
  <si>
    <t>Компенсация на использование личного автотранспорта</t>
  </si>
  <si>
    <t>Аварийно диспетчерская служба</t>
  </si>
  <si>
    <t>2.3.7</t>
  </si>
  <si>
    <t>Обязательная аттестация сотрудников</t>
  </si>
  <si>
    <t>2.3.8</t>
  </si>
  <si>
    <t>Тех.обслуживание тех.узла системы теплоснабжения по договору</t>
  </si>
  <si>
    <t>2.3.9</t>
  </si>
  <si>
    <t>Услуги НП ОРС</t>
  </si>
  <si>
    <t>Расходы на услуги банка</t>
  </si>
  <si>
    <t>Вывоз и уборка снега, чистка козырьков</t>
  </si>
  <si>
    <t>СОДЕРЖАНИЕ ЛИФТОВ</t>
  </si>
  <si>
    <t>2.5</t>
  </si>
  <si>
    <t>Непредвиденные расходы</t>
  </si>
  <si>
    <t>Финансовый результат</t>
  </si>
  <si>
    <t>1.2</t>
  </si>
  <si>
    <t>1.4</t>
  </si>
  <si>
    <t>Выручка по  автопарковке</t>
  </si>
  <si>
    <t>1.5</t>
  </si>
  <si>
    <t>1.6</t>
  </si>
  <si>
    <t>Выручка от предпринимательской деят-ти</t>
  </si>
  <si>
    <t>Фонд председателя правления</t>
  </si>
  <si>
    <t>СОДЕРЖАНИЕ ЖИЛЬЯ И ДРУГИЕ РАСХОДЫ</t>
  </si>
  <si>
    <t>Выручка прочая(пени, отключение стояков, антенна)</t>
  </si>
  <si>
    <t>Ремонт ограждения контейнерной площадки с отводом дождевой воды</t>
  </si>
  <si>
    <t>Подготовка системы отопления к отопительному сезону(промывка, опрессовка требопровода), промывка канализации сторонней организацией</t>
  </si>
  <si>
    <t xml:space="preserve">Реконструкция Аварийной будки контролеров </t>
  </si>
  <si>
    <t>Выручка от сбора от благоустройства территории</t>
  </si>
  <si>
    <t>Чистка, ремонт канализации</t>
  </si>
  <si>
    <t>Ремонт крыши, паребриков, плит, вентиляции</t>
  </si>
  <si>
    <t>Обслуживание ПО, катридж, копии , СБИС,сайт, канцелярия, мебель</t>
  </si>
  <si>
    <t>ГВ  и ХВ(ПОВЫШАЮЩИЙ КОЭФФИЦИЕНТ)</t>
  </si>
  <si>
    <t>Связь, почта, размещение объявлений, хостинг</t>
  </si>
  <si>
    <t>ОДН ХВС, ГВС</t>
  </si>
  <si>
    <t>Противорпожарные материалы</t>
  </si>
  <si>
    <t>Текущий ремонт мелкий</t>
  </si>
  <si>
    <t>Заполнение сайта ГИС ЖКХ</t>
  </si>
  <si>
    <t>Всего выручки</t>
  </si>
  <si>
    <t xml:space="preserve">Содержание, ремонт автом.ворот, шлагбаума,видеонаблюдения </t>
  </si>
  <si>
    <t>Заработная плата ( с НДФЛ), (без контролеров)</t>
  </si>
  <si>
    <t>Заработная плата контролеров ( с НДФЛ)</t>
  </si>
  <si>
    <t>1.3</t>
  </si>
  <si>
    <t>2.3.4</t>
  </si>
  <si>
    <t>2.3.6</t>
  </si>
  <si>
    <t>2.4</t>
  </si>
  <si>
    <t>2.4.1</t>
  </si>
  <si>
    <t>2.4.2</t>
  </si>
  <si>
    <t>2.4.3</t>
  </si>
  <si>
    <t>2.4.4</t>
  </si>
  <si>
    <t>2.4.5</t>
  </si>
  <si>
    <t>2.4.7</t>
  </si>
  <si>
    <t>2.4.6</t>
  </si>
  <si>
    <t>2.4.8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</si>
  <si>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</si>
  <si>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</si>
  <si>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</si>
  <si>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</si>
  <si>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</si>
  <si>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</si>
  <si>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</si>
  <si>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</si>
  <si>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</si>
  <si>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</si>
  <si>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</si>
  <si>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</si>
  <si>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2.4.22</t>
  </si>
  <si>
    <t>2.4.23</t>
  </si>
  <si>
    <t>2.4.24</t>
  </si>
  <si>
    <t>Факт 4 кв.</t>
  </si>
  <si>
    <t>Факт 9 мес</t>
  </si>
  <si>
    <t>ОБРАЩЕНИЕ С ТКО</t>
  </si>
  <si>
    <t>Косметический ремонт подъездов ( 3 и 4) и 11-е эт.</t>
  </si>
  <si>
    <t>Выручка по Обращение с ТКО</t>
  </si>
  <si>
    <t>Страховые взносы с ФОТ (без контролеров)</t>
  </si>
  <si>
    <t>Страховые взносы с ФОТ  контролеров</t>
  </si>
  <si>
    <t>Откл-ние</t>
  </si>
  <si>
    <t>Факт 2019</t>
  </si>
  <si>
    <t>ПЛАН на 2019</t>
  </si>
  <si>
    <t>ПЛАН  на 2020</t>
  </si>
  <si>
    <t>Укладка плитки  на пол в подъезды( по 11 этаж)</t>
  </si>
  <si>
    <t xml:space="preserve">ОТЧЕТ за 2019г и СМЕТА ДОХОДОВ И РАСХОДОВ                                                           ТСЖ "КРОПОТКИНА 261"на   2020г </t>
  </si>
  <si>
    <t>Факт 2020</t>
  </si>
  <si>
    <t>Озеленение, газонокосилка, содержание детской пл.</t>
  </si>
  <si>
    <t>Элетроэнергия МОП, электротовары</t>
  </si>
  <si>
    <t>Целевой сбор на ремонт лифтов</t>
  </si>
  <si>
    <t>Ограждение детской площадки за счет администрации</t>
  </si>
  <si>
    <t>ПЛАН на 2021</t>
  </si>
  <si>
    <t>Текущий ремонт детской площадки</t>
  </si>
  <si>
    <t>Налог УСН, предварительный</t>
  </si>
  <si>
    <t>Материалы, хоз,  инвентарь, доводчики</t>
  </si>
  <si>
    <t>Монтаж раздвижных ворота( администрация)</t>
  </si>
  <si>
    <t>за счет администрации</t>
  </si>
  <si>
    <t>Подготовка системы отопления к отопительному сезону(промывка, опрессовка требопровода), промывка канализации</t>
  </si>
  <si>
    <t>2.3.5</t>
  </si>
  <si>
    <t>2.4.9</t>
  </si>
  <si>
    <t>Выручка от сбора от "Безопасный двор1,2"</t>
  </si>
  <si>
    <t>Противопожарные материалы</t>
  </si>
  <si>
    <t>Озеленение, содержание детской пл.</t>
  </si>
  <si>
    <t xml:space="preserve">Ограждение детской площадки( зеленый  заборчик), </t>
  </si>
  <si>
    <t xml:space="preserve">Обслуживание авт.ворот, шлагбаума,видеонаблюдения </t>
  </si>
  <si>
    <t>Установка метл. двери на входе в 3 п-д</t>
  </si>
  <si>
    <t>Приложение №1</t>
  </si>
  <si>
    <t xml:space="preserve">ОТЧЕТ за 2020г и СМЕТА ДОХОДОВ И РАСХОДОВ   на 2021                                                                                    ТСЖ "КРОПОТКИНА 261"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</si>
</sst>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2" fillId="2" borderId="1" xfId="0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/>
    <xf numFmtId="49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3" fontId="0" fillId="0" borderId="1" xfId="0" applyNumberFormat="1" applyBorder="1"/>
    <xf numFmtId="0" fontId="1" fillId="0" borderId="0" xfId="0" applyFont="1" applyFill="1"/>
    <xf numFmtId="164" fontId="2" fillId="0" borderId="0" xfId="0" applyNumberFormat="1" applyFont="1" applyBorder="1"/>
    <xf numFmtId="0" fontId="1" fillId="0" borderId="0" xfId="0" applyFont="1" applyBorder="1"/>
    <xf numFmtId="3" fontId="7" fillId="0" borderId="1" xfId="0" applyNumberFormat="1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6" fillId="2" borderId="1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/>
    <xf numFmtId="3" fontId="0" fillId="0" borderId="1" xfId="0" applyNumberFormat="1" applyFill="1" applyBorder="1"/>
    <xf numFmtId="3" fontId="0" fillId="2" borderId="1" xfId="0" applyNumberFormat="1" applyFill="1" applyBorder="1"/>
    <xf numFmtId="3" fontId="8" fillId="0" borderId="1" xfId="0" applyNumberFormat="1" applyFont="1" applyFill="1" applyBorder="1"/>
    <xf numFmtId="3" fontId="5" fillId="2" borderId="1" xfId="0" applyNumberFormat="1" applyFont="1" applyFill="1" applyBorder="1"/>
    <xf numFmtId="3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3" fontId="1" fillId="0" borderId="0" xfId="0" applyNumberFormat="1" applyFont="1"/>
    <xf numFmtId="4" fontId="1" fillId="0" borderId="0" xfId="0" applyNumberFormat="1" applyFont="1"/>
    <xf numFmtId="3" fontId="0" fillId="0" borderId="0" xfId="0" applyNumberFormat="1"/>
    <xf numFmtId="0" fontId="0" fillId="0" borderId="1" xfId="0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164" fontId="2" fillId="0" borderId="5" xfId="0" applyNumberFormat="1" applyFont="1" applyBorder="1"/>
    <xf numFmtId="4" fontId="2" fillId="0" borderId="6" xfId="0" applyNumberFormat="1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Fill="1" applyBorder="1"/>
    <xf numFmtId="0" fontId="1" fillId="2" borderId="13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left"/>
    </xf>
    <xf numFmtId="0" fontId="1" fillId="2" borderId="13" xfId="0" applyFont="1" applyFill="1" applyBorder="1"/>
    <xf numFmtId="49" fontId="2" fillId="2" borderId="13" xfId="0" applyNumberFormat="1" applyFont="1" applyFill="1" applyBorder="1"/>
    <xf numFmtId="49" fontId="1" fillId="2" borderId="13" xfId="0" applyNumberFormat="1" applyFont="1" applyFill="1" applyBorder="1"/>
    <xf numFmtId="49" fontId="1" fillId="2" borderId="15" xfId="0" applyNumberFormat="1" applyFont="1" applyFill="1" applyBorder="1"/>
    <xf numFmtId="3" fontId="2" fillId="0" borderId="16" xfId="0" applyNumberFormat="1" applyFont="1" applyBorder="1"/>
    <xf numFmtId="3" fontId="2" fillId="0" borderId="16" xfId="0" applyNumberFormat="1" applyFont="1" applyFill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19" xfId="0" applyNumberFormat="1" applyFont="1" applyFill="1" applyBorder="1"/>
    <xf numFmtId="3" fontId="1" fillId="0" borderId="19" xfId="0" applyNumberFormat="1" applyFont="1" applyBorder="1"/>
    <xf numFmtId="3" fontId="7" fillId="0" borderId="19" xfId="0" applyNumberFormat="1" applyFont="1" applyBorder="1"/>
    <xf numFmtId="3" fontId="1" fillId="0" borderId="19" xfId="0" applyNumberFormat="1" applyFont="1" applyFill="1" applyBorder="1"/>
    <xf numFmtId="3" fontId="0" fillId="0" borderId="19" xfId="0" applyNumberFormat="1" applyFill="1" applyBorder="1"/>
    <xf numFmtId="3" fontId="1" fillId="0" borderId="20" xfId="0" applyNumberFormat="1" applyFont="1" applyFill="1" applyBorder="1"/>
    <xf numFmtId="0" fontId="2" fillId="3" borderId="21" xfId="0" applyFont="1" applyFill="1" applyBorder="1"/>
    <xf numFmtId="3" fontId="2" fillId="3" borderId="22" xfId="0" applyNumberFormat="1" applyFont="1" applyFill="1" applyBorder="1"/>
    <xf numFmtId="3" fontId="1" fillId="3" borderId="22" xfId="0" applyNumberFormat="1" applyFont="1" applyFill="1" applyBorder="1"/>
    <xf numFmtId="3" fontId="7" fillId="3" borderId="22" xfId="0" applyNumberFormat="1" applyFont="1" applyFill="1" applyBorder="1"/>
    <xf numFmtId="0" fontId="1" fillId="3" borderId="22" xfId="0" applyFont="1" applyFill="1" applyBorder="1"/>
    <xf numFmtId="0" fontId="0" fillId="3" borderId="22" xfId="0" applyFill="1" applyBorder="1"/>
    <xf numFmtId="3" fontId="0" fillId="3" borderId="22" xfId="0" applyNumberFormat="1" applyFill="1" applyBorder="1"/>
    <xf numFmtId="3" fontId="1" fillId="3" borderId="23" xfId="0" applyNumberFormat="1" applyFont="1" applyFill="1" applyBorder="1"/>
    <xf numFmtId="0" fontId="2" fillId="0" borderId="24" xfId="0" applyFont="1" applyBorder="1"/>
    <xf numFmtId="3" fontId="2" fillId="0" borderId="25" xfId="0" applyNumberFormat="1" applyFont="1" applyBorder="1"/>
    <xf numFmtId="3" fontId="2" fillId="2" borderId="25" xfId="0" applyNumberFormat="1" applyFont="1" applyFill="1" applyBorder="1"/>
    <xf numFmtId="3" fontId="1" fillId="0" borderId="25" xfId="0" applyNumberFormat="1" applyFont="1" applyBorder="1"/>
    <xf numFmtId="3" fontId="6" fillId="2" borderId="25" xfId="0" applyNumberFormat="1" applyFont="1" applyFill="1" applyBorder="1"/>
    <xf numFmtId="3" fontId="1" fillId="2" borderId="25" xfId="0" applyNumberFormat="1" applyFont="1" applyFill="1" applyBorder="1"/>
    <xf numFmtId="3" fontId="0" fillId="0" borderId="25" xfId="0" applyNumberFormat="1" applyBorder="1"/>
    <xf numFmtId="3" fontId="0" fillId="2" borderId="25" xfId="0" applyNumberFormat="1" applyFill="1" applyBorder="1"/>
    <xf numFmtId="3" fontId="5" fillId="2" borderId="26" xfId="0" applyNumberFormat="1" applyFont="1" applyFill="1" applyBorder="1"/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1" fillId="2" borderId="14" xfId="0" applyFont="1" applyFill="1" applyBorder="1"/>
    <xf numFmtId="0" fontId="1" fillId="0" borderId="14" xfId="0" applyFont="1" applyFill="1" applyBorder="1"/>
    <xf numFmtId="0" fontId="2" fillId="2" borderId="27" xfId="0" applyFont="1" applyFill="1" applyBorder="1"/>
    <xf numFmtId="0" fontId="1" fillId="2" borderId="14" xfId="0" applyFont="1" applyFill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4" fillId="2" borderId="14" xfId="0" applyFont="1" applyFill="1" applyBorder="1"/>
    <xf numFmtId="0" fontId="2" fillId="2" borderId="17" xfId="0" applyFont="1" applyFill="1" applyBorder="1"/>
    <xf numFmtId="49" fontId="2" fillId="2" borderId="28" xfId="0" applyNumberFormat="1" applyFont="1" applyFill="1" applyBorder="1"/>
    <xf numFmtId="0" fontId="3" fillId="2" borderId="29" xfId="0" applyFont="1" applyFill="1" applyBorder="1"/>
    <xf numFmtId="3" fontId="2" fillId="2" borderId="30" xfId="0" applyNumberFormat="1" applyFont="1" applyFill="1" applyBorder="1"/>
    <xf numFmtId="3" fontId="2" fillId="0" borderId="31" xfId="0" applyNumberFormat="1" applyFont="1" applyBorder="1"/>
    <xf numFmtId="3" fontId="2" fillId="0" borderId="31" xfId="0" applyNumberFormat="1" applyFont="1" applyFill="1" applyBorder="1"/>
    <xf numFmtId="3" fontId="2" fillId="0" borderId="32" xfId="0" applyNumberFormat="1" applyFont="1" applyBorder="1"/>
    <xf numFmtId="3" fontId="2" fillId="3" borderId="33" xfId="0" applyNumberFormat="1" applyFont="1" applyFill="1" applyBorder="1"/>
    <xf numFmtId="0" fontId="1" fillId="2" borderId="15" xfId="0" applyFont="1" applyFill="1" applyBorder="1"/>
    <xf numFmtId="3" fontId="2" fillId="0" borderId="26" xfId="0" applyNumberFormat="1" applyFont="1" applyBorder="1"/>
    <xf numFmtId="3" fontId="7" fillId="0" borderId="16" xfId="0" applyNumberFormat="1" applyFont="1" applyFill="1" applyBorder="1"/>
    <xf numFmtId="3" fontId="7" fillId="0" borderId="16" xfId="0" applyNumberFormat="1" applyFont="1" applyBorder="1"/>
    <xf numFmtId="3" fontId="7" fillId="0" borderId="20" xfId="0" applyNumberFormat="1" applyFont="1" applyFill="1" applyBorder="1"/>
    <xf numFmtId="3" fontId="7" fillId="3" borderId="23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0" fillId="0" borderId="3" xfId="0" applyBorder="1" applyAlignment="1"/>
    <xf numFmtId="0" fontId="2" fillId="0" borderId="0" xfId="0" applyFont="1" applyBorder="1" applyAlignment="1">
      <alignment horizontal="center" wrapText="1"/>
    </xf>
    <xf numFmtId="0" fontId="1" fillId="0" borderId="8" xfId="0" applyFont="1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workbookViewId="0">
      <selection activeCell="M12" sqref="M12"/>
    </sheetView>
  </sheetViews>
  <sheetFormatPr defaultColWidth="9.109375" defaultRowHeight="13.8" x14ac:dyDescent="0.3"/>
  <cols>
    <col min="1" max="1" width="5.33203125" style="1" customWidth="1"/>
    <col min="2" max="2" width="44.109375" style="1" customWidth="1"/>
    <col min="3" max="3" width="13" style="1" customWidth="1"/>
    <col min="4" max="5" width="9.109375" style="1" hidden="1" customWidth="1"/>
    <col min="6" max="6" width="12.44140625" style="1" customWidth="1"/>
    <col min="7" max="7" width="1.5546875" style="1" hidden="1" customWidth="1"/>
    <col min="8" max="8" width="14.33203125" style="1" customWidth="1"/>
    <col min="9" max="9" width="9.33203125" style="1" bestFit="1" customWidth="1"/>
    <col min="10" max="10" width="12.44140625" style="1" bestFit="1" customWidth="1"/>
    <col min="11" max="16384" width="9.109375" style="1"/>
  </cols>
  <sheetData>
    <row r="1" spans="1:12" ht="44.4" customHeight="1" x14ac:dyDescent="0.3">
      <c r="B1" s="112" t="s">
        <v>106</v>
      </c>
      <c r="C1" s="113"/>
    </row>
    <row r="2" spans="1:12" ht="27" customHeight="1" x14ac:dyDescent="0.3">
      <c r="A2" s="2" t="s">
        <v>0</v>
      </c>
      <c r="B2" s="3" t="s">
        <v>1</v>
      </c>
      <c r="C2" s="35" t="s">
        <v>103</v>
      </c>
      <c r="D2" s="35" t="s">
        <v>95</v>
      </c>
      <c r="E2" s="36" t="s">
        <v>94</v>
      </c>
      <c r="F2" s="37" t="s">
        <v>102</v>
      </c>
      <c r="G2" s="35" t="s">
        <v>101</v>
      </c>
      <c r="H2" s="35" t="s">
        <v>104</v>
      </c>
      <c r="I2" s="35" t="s">
        <v>107</v>
      </c>
      <c r="J2" s="35" t="s">
        <v>112</v>
      </c>
    </row>
    <row r="3" spans="1:12" ht="27" customHeight="1" x14ac:dyDescent="0.3">
      <c r="A3" s="13">
        <v>1</v>
      </c>
      <c r="B3" s="14" t="s">
        <v>63</v>
      </c>
      <c r="C3" s="25">
        <v>4309.0030400000005</v>
      </c>
      <c r="D3" s="25">
        <v>3323.1</v>
      </c>
      <c r="E3" s="25">
        <v>1076.9000000000001</v>
      </c>
      <c r="F3" s="34">
        <f>F4+F13+F14+F15+F16+F17</f>
        <v>4399.8999999999996</v>
      </c>
      <c r="G3" s="25">
        <f>C3-F3</f>
        <v>-90.896959999999126</v>
      </c>
      <c r="H3" s="25">
        <f>H4+H13+H14+H15+H16+H17</f>
        <v>4669.7517119999993</v>
      </c>
      <c r="I3" s="25">
        <f>I4+I13+I14+I15+I16+I17</f>
        <v>4779.1536899999992</v>
      </c>
      <c r="J3" s="25">
        <f>J4+J13+J14+J15+J16+J17</f>
        <v>4769.53078</v>
      </c>
    </row>
    <row r="4" spans="1:12" x14ac:dyDescent="0.3">
      <c r="A4" s="15" t="s">
        <v>2</v>
      </c>
      <c r="B4" s="10" t="s">
        <v>3</v>
      </c>
      <c r="C4" s="26">
        <v>3271.9600000000005</v>
      </c>
      <c r="D4" s="25">
        <v>2541.1999999999998</v>
      </c>
      <c r="E4" s="25">
        <v>817.6</v>
      </c>
      <c r="F4" s="34">
        <f>SUM(F5:F12)</f>
        <v>3358.7999999999997</v>
      </c>
      <c r="G4" s="25">
        <f t="shared" ref="G4:G55" si="0">C4-F4</f>
        <v>-86.839999999999236</v>
      </c>
      <c r="H4" s="34">
        <f>SUM(H5:H12)</f>
        <v>3395.7017119999996</v>
      </c>
      <c r="I4" s="34">
        <f>SUM(I5:I12)</f>
        <v>3531.8376499999995</v>
      </c>
      <c r="J4" s="34">
        <f>SUM(J5:J12)</f>
        <v>3479.8769699999998</v>
      </c>
    </row>
    <row r="5" spans="1:12" x14ac:dyDescent="0.3">
      <c r="A5" s="15" t="s">
        <v>4</v>
      </c>
      <c r="B5" s="7" t="s">
        <v>98</v>
      </c>
      <c r="C5" s="5"/>
      <c r="D5" s="6">
        <v>93.4</v>
      </c>
      <c r="E5" s="5"/>
      <c r="F5" s="28">
        <v>93.4</v>
      </c>
      <c r="G5" s="25">
        <f t="shared" si="0"/>
        <v>-93.4</v>
      </c>
      <c r="H5" s="28">
        <v>0</v>
      </c>
      <c r="I5" s="5">
        <v>0</v>
      </c>
      <c r="J5" s="5">
        <v>0</v>
      </c>
    </row>
    <row r="6" spans="1:12" x14ac:dyDescent="0.3">
      <c r="A6" s="15" t="s">
        <v>5</v>
      </c>
      <c r="B6" s="7" t="s">
        <v>16</v>
      </c>
      <c r="C6" s="27">
        <v>258.26</v>
      </c>
      <c r="D6" s="28">
        <v>190.9</v>
      </c>
      <c r="E6" s="5">
        <v>63.6</v>
      </c>
      <c r="F6" s="28">
        <v>254.5</v>
      </c>
      <c r="G6" s="25">
        <f t="shared" si="0"/>
        <v>3.7599999999999909</v>
      </c>
      <c r="H6" s="28">
        <f>F6</f>
        <v>254.5</v>
      </c>
      <c r="I6" s="5">
        <v>254.58851000000001</v>
      </c>
      <c r="J6" s="5">
        <v>254.58851000000001</v>
      </c>
    </row>
    <row r="7" spans="1:12" x14ac:dyDescent="0.3">
      <c r="A7" s="15"/>
      <c r="B7" s="7" t="s">
        <v>110</v>
      </c>
      <c r="C7" s="27"/>
      <c r="D7" s="28"/>
      <c r="E7" s="5"/>
      <c r="F7" s="28"/>
      <c r="G7" s="25"/>
      <c r="H7" s="28"/>
      <c r="I7" s="5">
        <v>145.96068</v>
      </c>
      <c r="J7" s="5"/>
    </row>
    <row r="8" spans="1:12" x14ac:dyDescent="0.3">
      <c r="A8" s="15" t="s">
        <v>7</v>
      </c>
      <c r="B8" s="7" t="s">
        <v>6</v>
      </c>
      <c r="C8" s="5">
        <v>576.28700000000003</v>
      </c>
      <c r="D8" s="28">
        <v>431.8</v>
      </c>
      <c r="E8" s="5">
        <v>144.30000000000001</v>
      </c>
      <c r="F8" s="28">
        <v>576.1</v>
      </c>
      <c r="G8" s="25">
        <f t="shared" si="0"/>
        <v>0.18700000000001182</v>
      </c>
      <c r="H8" s="28">
        <f>4.7*10246.88*3/1000+4.88*10246.88*9/1000</f>
        <v>594.52397759999985</v>
      </c>
      <c r="I8" s="5">
        <f>591.79644+2.72694</f>
        <v>594.52337999999997</v>
      </c>
      <c r="J8" s="5">
        <f>591.79644+2.72694+19</f>
        <v>613.52337999999997</v>
      </c>
    </row>
    <row r="9" spans="1:12" x14ac:dyDescent="0.3">
      <c r="A9" s="15" t="s">
        <v>9</v>
      </c>
      <c r="B9" s="7" t="s">
        <v>8</v>
      </c>
      <c r="C9" s="5">
        <v>2163.8200000000002</v>
      </c>
      <c r="D9" s="28">
        <v>1620.2</v>
      </c>
      <c r="E9" s="5">
        <v>541.5</v>
      </c>
      <c r="F9" s="28">
        <v>2161.6999999999998</v>
      </c>
      <c r="G9" s="25">
        <f t="shared" si="0"/>
        <v>2.1200000000003456</v>
      </c>
      <c r="H9" s="28">
        <f>17.95*10246.88*3/1000+18.67*10246.88*9/1000</f>
        <v>2273.5777343999998</v>
      </c>
      <c r="I9" s="5">
        <f>2253.39594+10.38606</f>
        <v>2263.7819999999997</v>
      </c>
      <c r="J9" s="5">
        <f>2253.39594+10.38606+75</f>
        <v>2338.7819999999997</v>
      </c>
    </row>
    <row r="10" spans="1:12" x14ac:dyDescent="0.3">
      <c r="A10" s="15" t="s">
        <v>11</v>
      </c>
      <c r="B10" s="9" t="s">
        <v>10</v>
      </c>
      <c r="C10" s="6">
        <v>68.376000000000005</v>
      </c>
      <c r="D10" s="28">
        <v>50.8</v>
      </c>
      <c r="E10" s="5">
        <v>16.899999999999999</v>
      </c>
      <c r="F10" s="28">
        <v>67.699999999999989</v>
      </c>
      <c r="G10" s="25">
        <f t="shared" si="0"/>
        <v>0.67600000000001614</v>
      </c>
      <c r="H10" s="28">
        <f t="shared" ref="H10:H16" si="1">F10</f>
        <v>67.699999999999989</v>
      </c>
      <c r="I10" s="5">
        <v>67.634519999999995</v>
      </c>
      <c r="J10" s="5">
        <v>67.634519999999995</v>
      </c>
    </row>
    <row r="11" spans="1:12" x14ac:dyDescent="0.3">
      <c r="A11" s="15" t="s">
        <v>13</v>
      </c>
      <c r="B11" s="9" t="s">
        <v>12</v>
      </c>
      <c r="C11" s="6">
        <v>11.276999999999999</v>
      </c>
      <c r="D11" s="28">
        <v>8.3000000000000007</v>
      </c>
      <c r="E11" s="5">
        <v>2.8</v>
      </c>
      <c r="F11" s="28">
        <v>11.100000000000001</v>
      </c>
      <c r="G11" s="25">
        <f t="shared" si="0"/>
        <v>0.17699999999999783</v>
      </c>
      <c r="H11" s="28">
        <f t="shared" si="1"/>
        <v>11.100000000000001</v>
      </c>
      <c r="I11" s="5">
        <v>11.06833</v>
      </c>
      <c r="J11" s="5">
        <v>11.06833</v>
      </c>
    </row>
    <row r="12" spans="1:12" x14ac:dyDescent="0.3">
      <c r="A12" s="15" t="s">
        <v>15</v>
      </c>
      <c r="B12" s="9" t="s">
        <v>14</v>
      </c>
      <c r="C12" s="6">
        <v>193.94</v>
      </c>
      <c r="D12" s="28">
        <v>145.80000000000001</v>
      </c>
      <c r="E12" s="5">
        <v>48.5</v>
      </c>
      <c r="F12" s="28">
        <v>194.3</v>
      </c>
      <c r="G12" s="25">
        <f t="shared" si="0"/>
        <v>-0.36000000000001364</v>
      </c>
      <c r="H12" s="28">
        <f t="shared" si="1"/>
        <v>194.3</v>
      </c>
      <c r="I12" s="5">
        <v>194.28022999999999</v>
      </c>
      <c r="J12" s="5">
        <v>194.28022999999999</v>
      </c>
    </row>
    <row r="13" spans="1:12" customFormat="1" ht="14.4" x14ac:dyDescent="0.3">
      <c r="A13" s="7" t="s">
        <v>41</v>
      </c>
      <c r="B13" s="10" t="s">
        <v>49</v>
      </c>
      <c r="C13" s="25">
        <v>65.043040000000005</v>
      </c>
      <c r="D13" s="29">
        <v>48.5</v>
      </c>
      <c r="E13" s="24">
        <v>17.100000000000001</v>
      </c>
      <c r="F13" s="34">
        <v>65.599999999999994</v>
      </c>
      <c r="G13" s="25">
        <f t="shared" si="0"/>
        <v>-0.55695999999998946</v>
      </c>
      <c r="H13" s="34">
        <f t="shared" si="1"/>
        <v>65.599999999999994</v>
      </c>
      <c r="I13" s="24">
        <f>7.11065+2.75+37.40516</f>
        <v>47.265810000000002</v>
      </c>
      <c r="J13" s="24">
        <f>7.11065+2.75+37.40516</f>
        <v>47.265810000000002</v>
      </c>
    </row>
    <row r="14" spans="1:12" customFormat="1" ht="14.4" x14ac:dyDescent="0.3">
      <c r="A14" s="7" t="s">
        <v>67</v>
      </c>
      <c r="B14" s="10" t="s">
        <v>43</v>
      </c>
      <c r="C14" s="25">
        <v>459</v>
      </c>
      <c r="D14" s="29">
        <v>349.5</v>
      </c>
      <c r="E14" s="24">
        <v>117</v>
      </c>
      <c r="F14" s="34">
        <v>466.5</v>
      </c>
      <c r="G14" s="25">
        <f t="shared" si="0"/>
        <v>-7.5</v>
      </c>
      <c r="H14" s="34">
        <f>0.75*51*3+0.9*51*9</f>
        <v>527.84999999999991</v>
      </c>
      <c r="I14" s="24">
        <v>536.70000000000005</v>
      </c>
      <c r="J14" s="24">
        <v>550</v>
      </c>
      <c r="L14" s="40"/>
    </row>
    <row r="15" spans="1:12" customFormat="1" ht="14.4" x14ac:dyDescent="0.3">
      <c r="A15" s="7" t="s">
        <v>42</v>
      </c>
      <c r="B15" s="16" t="s">
        <v>53</v>
      </c>
      <c r="C15" s="25">
        <v>206</v>
      </c>
      <c r="D15" s="29">
        <v>155.19999999999999</v>
      </c>
      <c r="E15" s="24">
        <v>55.2</v>
      </c>
      <c r="F15" s="34">
        <v>210.39999999999998</v>
      </c>
      <c r="G15" s="25">
        <f t="shared" si="0"/>
        <v>-4.3999999999999773</v>
      </c>
      <c r="H15" s="34">
        <v>400</v>
      </c>
      <c r="I15" s="24">
        <f>301.6+45.50323+57</f>
        <v>404.10323000000005</v>
      </c>
      <c r="J15" s="24">
        <v>445</v>
      </c>
    </row>
    <row r="16" spans="1:12" customFormat="1" ht="14.4" x14ac:dyDescent="0.3">
      <c r="A16" s="7" t="s">
        <v>44</v>
      </c>
      <c r="B16" s="10" t="s">
        <v>46</v>
      </c>
      <c r="C16" s="25">
        <v>157</v>
      </c>
      <c r="D16" s="29">
        <v>122.2</v>
      </c>
      <c r="E16" s="24">
        <v>38.4</v>
      </c>
      <c r="F16" s="34">
        <v>160.6</v>
      </c>
      <c r="G16" s="25">
        <f t="shared" si="0"/>
        <v>-3.5999999999999943</v>
      </c>
      <c r="H16" s="34">
        <f t="shared" si="1"/>
        <v>160.6</v>
      </c>
      <c r="I16" s="24">
        <f>159.388</f>
        <v>159.38800000000001</v>
      </c>
      <c r="J16" s="24">
        <f>159.388</f>
        <v>159.38800000000001</v>
      </c>
    </row>
    <row r="17" spans="1:12" customFormat="1" ht="14.4" x14ac:dyDescent="0.3">
      <c r="A17" s="7" t="s">
        <v>45</v>
      </c>
      <c r="B17" s="10" t="s">
        <v>57</v>
      </c>
      <c r="C17" s="25">
        <v>150</v>
      </c>
      <c r="D17" s="29">
        <v>106.5</v>
      </c>
      <c r="E17" s="24">
        <v>31.5</v>
      </c>
      <c r="F17" s="34">
        <v>138</v>
      </c>
      <c r="G17" s="25">
        <f t="shared" si="0"/>
        <v>12</v>
      </c>
      <c r="H17" s="34">
        <v>120</v>
      </c>
      <c r="I17" s="29">
        <v>99.858999999999995</v>
      </c>
      <c r="J17" s="29">
        <v>88</v>
      </c>
    </row>
    <row r="18" spans="1:12" ht="25.2" customHeight="1" x14ac:dyDescent="0.3">
      <c r="A18" s="17" t="s">
        <v>17</v>
      </c>
      <c r="B18" s="18" t="s">
        <v>18</v>
      </c>
      <c r="C18" s="26">
        <v>4393.2800000000007</v>
      </c>
      <c r="D18" s="25">
        <v>3042.5</v>
      </c>
      <c r="E18" s="25">
        <v>1327.9</v>
      </c>
      <c r="F18" s="34">
        <f>F19+F20+F21+F30</f>
        <v>4375.0499999999993</v>
      </c>
      <c r="G18" s="25">
        <f t="shared" si="0"/>
        <v>18.230000000001382</v>
      </c>
      <c r="H18" s="34">
        <f>H19+H20+H21+H30</f>
        <v>4669.5</v>
      </c>
      <c r="I18" s="25">
        <f>I19+I20+I21+I30+I56</f>
        <v>4660.0554112999998</v>
      </c>
      <c r="J18" s="25">
        <f>J19+J20+J21+J30+J56</f>
        <v>4961.5891525520001</v>
      </c>
    </row>
    <row r="19" spans="1:12" ht="13.95" customHeight="1" x14ac:dyDescent="0.3">
      <c r="A19" s="17" t="s">
        <v>19</v>
      </c>
      <c r="B19" s="10" t="s">
        <v>96</v>
      </c>
      <c r="C19" s="26">
        <v>30</v>
      </c>
      <c r="D19" s="26">
        <v>79.7</v>
      </c>
      <c r="E19" s="25"/>
      <c r="F19" s="28">
        <f>D19+E19</f>
        <v>79.7</v>
      </c>
      <c r="G19" s="25">
        <f t="shared" si="0"/>
        <v>-49.7</v>
      </c>
      <c r="H19" s="5"/>
      <c r="I19" s="25">
        <v>0</v>
      </c>
      <c r="J19" s="4"/>
    </row>
    <row r="20" spans="1:12" x14ac:dyDescent="0.3">
      <c r="A20" s="17" t="s">
        <v>20</v>
      </c>
      <c r="B20" s="10" t="s">
        <v>37</v>
      </c>
      <c r="C20" s="26">
        <v>258</v>
      </c>
      <c r="D20" s="25">
        <v>132.1</v>
      </c>
      <c r="E20" s="25">
        <v>49.6</v>
      </c>
      <c r="F20" s="28">
        <f>D20+E20</f>
        <v>181.7</v>
      </c>
      <c r="G20" s="25">
        <f t="shared" si="0"/>
        <v>76.300000000000011</v>
      </c>
      <c r="H20" s="5">
        <f>F20+150</f>
        <v>331.7</v>
      </c>
      <c r="I20" s="25">
        <f>1.5+8.88+350.31724</f>
        <v>360.69724000000002</v>
      </c>
      <c r="J20" s="25">
        <f>1.5+8.88+350.31724</f>
        <v>360.69724000000002</v>
      </c>
    </row>
    <row r="21" spans="1:12" x14ac:dyDescent="0.3">
      <c r="A21" s="17" t="s">
        <v>23</v>
      </c>
      <c r="B21" s="10" t="s">
        <v>21</v>
      </c>
      <c r="C21" s="26">
        <v>635</v>
      </c>
      <c r="D21" s="25">
        <v>248.8</v>
      </c>
      <c r="E21" s="25">
        <v>388.7</v>
      </c>
      <c r="F21" s="34">
        <f>SUM(F22:F29)</f>
        <v>637.4</v>
      </c>
      <c r="G21" s="25">
        <f t="shared" si="0"/>
        <v>-2.3999999999999773</v>
      </c>
      <c r="H21" s="5">
        <f>SUM(H22:H28)</f>
        <v>620</v>
      </c>
      <c r="I21" s="25">
        <f>SUM(I22:I29)</f>
        <v>605.14199999999994</v>
      </c>
      <c r="J21" s="25">
        <f>SUM(J22:J29)</f>
        <v>640</v>
      </c>
    </row>
    <row r="22" spans="1:12" x14ac:dyDescent="0.3">
      <c r="A22" s="11" t="s">
        <v>24</v>
      </c>
      <c r="B22" s="7" t="s">
        <v>22</v>
      </c>
      <c r="C22" s="5">
        <v>80</v>
      </c>
      <c r="D22" s="5">
        <v>196.2</v>
      </c>
      <c r="E22" s="5"/>
      <c r="F22" s="28">
        <v>196.2</v>
      </c>
      <c r="G22" s="25">
        <f t="shared" si="0"/>
        <v>-116.19999999999999</v>
      </c>
      <c r="H22" s="5">
        <v>100</v>
      </c>
      <c r="I22" s="5">
        <v>105.31</v>
      </c>
      <c r="J22" s="4">
        <v>80</v>
      </c>
    </row>
    <row r="23" spans="1:12" x14ac:dyDescent="0.3">
      <c r="A23" s="11" t="s">
        <v>25</v>
      </c>
      <c r="B23" s="7" t="s">
        <v>55</v>
      </c>
      <c r="C23" s="5">
        <v>20</v>
      </c>
      <c r="D23" s="5"/>
      <c r="E23" s="5">
        <v>7.5</v>
      </c>
      <c r="F23" s="28">
        <v>7.5</v>
      </c>
      <c r="G23" s="25">
        <f t="shared" si="0"/>
        <v>12.5</v>
      </c>
      <c r="H23" s="5">
        <v>50</v>
      </c>
      <c r="I23" s="5">
        <v>303.44499999999999</v>
      </c>
      <c r="J23" s="4">
        <v>300</v>
      </c>
    </row>
    <row r="24" spans="1:12" x14ac:dyDescent="0.3">
      <c r="A24" s="11" t="s">
        <v>26</v>
      </c>
      <c r="B24" s="7" t="s">
        <v>97</v>
      </c>
      <c r="C24" s="5">
        <v>30</v>
      </c>
      <c r="D24" s="5">
        <v>41.6</v>
      </c>
      <c r="E24" s="5">
        <v>8</v>
      </c>
      <c r="F24" s="28">
        <v>49.6</v>
      </c>
      <c r="G24" s="25">
        <f t="shared" si="0"/>
        <v>-19.600000000000001</v>
      </c>
      <c r="H24" s="5">
        <v>150</v>
      </c>
      <c r="I24" s="28">
        <f>147.1</f>
        <v>147.1</v>
      </c>
      <c r="J24" s="9">
        <v>120</v>
      </c>
    </row>
    <row r="25" spans="1:12" x14ac:dyDescent="0.3">
      <c r="A25" s="11" t="s">
        <v>68</v>
      </c>
      <c r="B25" s="7" t="s">
        <v>61</v>
      </c>
      <c r="C25" s="5">
        <v>35</v>
      </c>
      <c r="D25" s="5">
        <v>3.8</v>
      </c>
      <c r="E25" s="5"/>
      <c r="F25" s="28">
        <v>3.8</v>
      </c>
      <c r="G25" s="25">
        <f t="shared" si="0"/>
        <v>31.2</v>
      </c>
      <c r="H25" s="5">
        <v>10</v>
      </c>
      <c r="I25" s="28">
        <f>5.846+4.6+1.691+20+10</f>
        <v>42.137</v>
      </c>
      <c r="J25" s="9">
        <v>40</v>
      </c>
    </row>
    <row r="26" spans="1:12" x14ac:dyDescent="0.3">
      <c r="A26" s="11" t="s">
        <v>69</v>
      </c>
      <c r="B26" s="7" t="s">
        <v>50</v>
      </c>
      <c r="C26" s="5">
        <v>10</v>
      </c>
      <c r="D26" s="5">
        <v>1</v>
      </c>
      <c r="E26" s="5"/>
      <c r="F26" s="28">
        <v>1</v>
      </c>
      <c r="G26" s="25">
        <f t="shared" si="0"/>
        <v>9</v>
      </c>
      <c r="H26" s="5"/>
      <c r="I26" s="28"/>
      <c r="J26" s="9"/>
    </row>
    <row r="27" spans="1:12" x14ac:dyDescent="0.3">
      <c r="A27" s="11" t="s">
        <v>29</v>
      </c>
      <c r="B27" s="7" t="s">
        <v>54</v>
      </c>
      <c r="C27" s="5">
        <v>15</v>
      </c>
      <c r="D27" s="5"/>
      <c r="E27" s="5"/>
      <c r="F27" s="28">
        <v>0</v>
      </c>
      <c r="G27" s="25">
        <f t="shared" si="0"/>
        <v>15</v>
      </c>
      <c r="H27" s="5">
        <v>10</v>
      </c>
      <c r="I27" s="28"/>
      <c r="J27" s="9"/>
    </row>
    <row r="28" spans="1:12" x14ac:dyDescent="0.3">
      <c r="A28" s="11" t="s">
        <v>31</v>
      </c>
      <c r="B28" s="12" t="s">
        <v>113</v>
      </c>
      <c r="C28" s="5">
        <v>45</v>
      </c>
      <c r="D28" s="6">
        <v>6.2</v>
      </c>
      <c r="E28" s="5"/>
      <c r="F28" s="28">
        <v>6.2</v>
      </c>
      <c r="G28" s="25">
        <f t="shared" si="0"/>
        <v>38.799999999999997</v>
      </c>
      <c r="H28" s="28">
        <v>300</v>
      </c>
      <c r="I28" s="28">
        <f>1+1.15+5</f>
        <v>7.15</v>
      </c>
      <c r="J28" s="9">
        <v>100</v>
      </c>
    </row>
    <row r="29" spans="1:12" x14ac:dyDescent="0.3">
      <c r="A29" s="11" t="s">
        <v>33</v>
      </c>
      <c r="B29" s="7" t="s">
        <v>105</v>
      </c>
      <c r="C29" s="5">
        <v>400</v>
      </c>
      <c r="D29" s="5"/>
      <c r="E29" s="5">
        <v>373.1</v>
      </c>
      <c r="F29" s="28">
        <v>373.1</v>
      </c>
      <c r="G29" s="25">
        <f t="shared" si="0"/>
        <v>26.899999999999977</v>
      </c>
      <c r="H29" s="5">
        <v>0</v>
      </c>
      <c r="I29" s="28"/>
      <c r="J29" s="9"/>
    </row>
    <row r="30" spans="1:12" x14ac:dyDescent="0.3">
      <c r="A30" s="17" t="s">
        <v>70</v>
      </c>
      <c r="B30" s="10" t="s">
        <v>48</v>
      </c>
      <c r="C30" s="26">
        <v>3470.28</v>
      </c>
      <c r="D30" s="25">
        <v>2581.9</v>
      </c>
      <c r="E30" s="25">
        <v>889.7</v>
      </c>
      <c r="F30" s="34">
        <f>SUM(F31:F39)+F40+F41+F42+F43+F44+F45+F46+F47+F48+F49+F50+F52+F53+F54+F55</f>
        <v>3476.2499999999995</v>
      </c>
      <c r="G30" s="25">
        <f t="shared" si="0"/>
        <v>-5.9699999999993452</v>
      </c>
      <c r="H30" s="25">
        <f>SUM(H31:H55)</f>
        <v>3717.7999999999997</v>
      </c>
      <c r="I30" s="34">
        <f>SUM(I31:I55)</f>
        <v>3694.2161712999996</v>
      </c>
      <c r="J30" s="34">
        <f>SUM(J31:J55)</f>
        <v>3960.8919125520006</v>
      </c>
    </row>
    <row r="31" spans="1:12" ht="27.6" customHeight="1" x14ac:dyDescent="0.3">
      <c r="A31" s="11" t="s">
        <v>71</v>
      </c>
      <c r="B31" s="12" t="s">
        <v>65</v>
      </c>
      <c r="C31" s="6">
        <v>1462</v>
      </c>
      <c r="D31" s="5">
        <v>1126.5999999999999</v>
      </c>
      <c r="E31" s="28">
        <v>335.1</v>
      </c>
      <c r="F31" s="28">
        <v>1461.6999999999998</v>
      </c>
      <c r="G31" s="25">
        <f t="shared" si="0"/>
        <v>0.3000000000001819</v>
      </c>
      <c r="H31" s="5">
        <v>1520</v>
      </c>
      <c r="I31" s="28">
        <v>1517.8595</v>
      </c>
      <c r="J31" s="28">
        <f>I31*1.04</f>
        <v>1578.5738800000001</v>
      </c>
    </row>
    <row r="32" spans="1:12" ht="13.95" customHeight="1" x14ac:dyDescent="0.3">
      <c r="A32" s="11" t="s">
        <v>72</v>
      </c>
      <c r="B32" s="12" t="s">
        <v>66</v>
      </c>
      <c r="C32" s="6">
        <v>660</v>
      </c>
      <c r="D32" s="28">
        <v>489.7</v>
      </c>
      <c r="E32" s="28">
        <v>166.2</v>
      </c>
      <c r="F32" s="28">
        <v>655.9</v>
      </c>
      <c r="G32" s="25">
        <f t="shared" si="0"/>
        <v>4.1000000000000227</v>
      </c>
      <c r="H32" s="5">
        <v>680</v>
      </c>
      <c r="I32" s="28">
        <v>715.48365000000001</v>
      </c>
      <c r="J32" s="28">
        <f t="shared" ref="J32:J34" si="2">I32*1.04</f>
        <v>744.10299600000008</v>
      </c>
      <c r="L32" s="38"/>
    </row>
    <row r="33" spans="1:10" x14ac:dyDescent="0.3">
      <c r="A33" s="11" t="s">
        <v>73</v>
      </c>
      <c r="B33" s="7" t="s">
        <v>99</v>
      </c>
      <c r="C33" s="6">
        <v>423.28000000000003</v>
      </c>
      <c r="D33" s="28">
        <v>340.2</v>
      </c>
      <c r="E33" s="28">
        <v>101.2</v>
      </c>
      <c r="F33" s="28">
        <v>441.4</v>
      </c>
      <c r="G33" s="25">
        <f t="shared" si="0"/>
        <v>-18.119999999999948</v>
      </c>
      <c r="H33" s="5">
        <v>459</v>
      </c>
      <c r="I33" s="28">
        <f>I31*30.2/100</f>
        <v>458.39356900000001</v>
      </c>
      <c r="J33" s="28">
        <f t="shared" si="2"/>
        <v>476.72931176000003</v>
      </c>
    </row>
    <row r="34" spans="1:10" x14ac:dyDescent="0.3">
      <c r="A34" s="11"/>
      <c r="B34" s="7" t="s">
        <v>100</v>
      </c>
      <c r="C34" s="6"/>
      <c r="D34" s="28">
        <v>147.9</v>
      </c>
      <c r="E34" s="28">
        <v>50.2</v>
      </c>
      <c r="F34" s="28">
        <v>198.10000000000002</v>
      </c>
      <c r="G34" s="25">
        <f t="shared" si="0"/>
        <v>-198.10000000000002</v>
      </c>
      <c r="H34" s="5">
        <v>205</v>
      </c>
      <c r="I34" s="28">
        <f>I32*30.2/100</f>
        <v>216.07606230000002</v>
      </c>
      <c r="J34" s="28">
        <f t="shared" si="2"/>
        <v>224.71910479200002</v>
      </c>
    </row>
    <row r="35" spans="1:10" x14ac:dyDescent="0.3">
      <c r="A35" s="11" t="s">
        <v>74</v>
      </c>
      <c r="B35" s="7" t="s">
        <v>27</v>
      </c>
      <c r="C35" s="5">
        <v>14</v>
      </c>
      <c r="D35" s="5">
        <v>10.8</v>
      </c>
      <c r="E35" s="5">
        <v>3.6</v>
      </c>
      <c r="F35" s="28">
        <v>14.4</v>
      </c>
      <c r="G35" s="25">
        <f t="shared" si="0"/>
        <v>-0.40000000000000036</v>
      </c>
      <c r="H35" s="5">
        <f t="shared" ref="H35:H55" si="3">F35</f>
        <v>14.4</v>
      </c>
      <c r="I35" s="28">
        <v>14.4</v>
      </c>
      <c r="J35" s="28">
        <v>14.4</v>
      </c>
    </row>
    <row r="36" spans="1:10" x14ac:dyDescent="0.3">
      <c r="A36" s="11" t="s">
        <v>75</v>
      </c>
      <c r="B36" s="7" t="s">
        <v>28</v>
      </c>
      <c r="C36" s="5">
        <v>120</v>
      </c>
      <c r="D36" s="5">
        <v>25</v>
      </c>
      <c r="E36" s="5">
        <v>15</v>
      </c>
      <c r="F36" s="28">
        <v>40</v>
      </c>
      <c r="G36" s="25">
        <f t="shared" si="0"/>
        <v>80</v>
      </c>
      <c r="H36" s="5">
        <v>60</v>
      </c>
      <c r="I36" s="28">
        <v>60</v>
      </c>
      <c r="J36" s="28">
        <v>60</v>
      </c>
    </row>
    <row r="37" spans="1:10" x14ac:dyDescent="0.3">
      <c r="A37" s="11" t="s">
        <v>77</v>
      </c>
      <c r="B37" s="7" t="s">
        <v>30</v>
      </c>
      <c r="C37" s="5">
        <v>7</v>
      </c>
      <c r="D37" s="5">
        <v>3</v>
      </c>
      <c r="E37" s="5"/>
      <c r="F37" s="28">
        <v>3</v>
      </c>
      <c r="G37" s="25">
        <f t="shared" si="0"/>
        <v>4</v>
      </c>
      <c r="H37" s="5">
        <v>6</v>
      </c>
      <c r="I37" s="28">
        <v>3</v>
      </c>
      <c r="J37" s="28">
        <v>3</v>
      </c>
    </row>
    <row r="38" spans="1:10" x14ac:dyDescent="0.3">
      <c r="A38" s="11" t="s">
        <v>76</v>
      </c>
      <c r="B38" s="7" t="s">
        <v>32</v>
      </c>
      <c r="C38" s="5">
        <v>18</v>
      </c>
      <c r="D38" s="5">
        <v>13.5</v>
      </c>
      <c r="E38" s="5">
        <v>4.5</v>
      </c>
      <c r="F38" s="28">
        <v>18</v>
      </c>
      <c r="G38" s="25">
        <f t="shared" si="0"/>
        <v>0</v>
      </c>
      <c r="H38" s="5">
        <f t="shared" si="3"/>
        <v>18</v>
      </c>
      <c r="I38" s="28">
        <v>18</v>
      </c>
      <c r="J38" s="28">
        <v>18</v>
      </c>
    </row>
    <row r="39" spans="1:10" ht="41.4" x14ac:dyDescent="0.3">
      <c r="A39" s="11" t="s">
        <v>78</v>
      </c>
      <c r="B39" s="12" t="s">
        <v>51</v>
      </c>
      <c r="C39" s="5">
        <v>65</v>
      </c>
      <c r="D39" s="5">
        <v>46.3</v>
      </c>
      <c r="E39" s="5"/>
      <c r="F39" s="28">
        <v>46.3</v>
      </c>
      <c r="G39" s="25">
        <f t="shared" si="0"/>
        <v>18.700000000000003</v>
      </c>
      <c r="H39" s="5">
        <v>50</v>
      </c>
      <c r="I39" s="28">
        <f>39.193+9.17</f>
        <v>48.363</v>
      </c>
      <c r="J39" s="28">
        <v>25</v>
      </c>
    </row>
    <row r="40" spans="1:10" x14ac:dyDescent="0.3">
      <c r="A40" s="11" t="s">
        <v>79</v>
      </c>
      <c r="B40" s="4" t="s">
        <v>109</v>
      </c>
      <c r="C40" s="5">
        <v>128</v>
      </c>
      <c r="D40" s="5">
        <v>99.9</v>
      </c>
      <c r="E40" s="5">
        <v>38</v>
      </c>
      <c r="F40" s="28">
        <v>137.9</v>
      </c>
      <c r="G40" s="25">
        <f t="shared" si="0"/>
        <v>-9.9000000000000057</v>
      </c>
      <c r="H40" s="5">
        <v>140</v>
      </c>
      <c r="I40" s="28">
        <f>125.133+10</f>
        <v>135.13299999999998</v>
      </c>
      <c r="J40" s="28">
        <v>135</v>
      </c>
    </row>
    <row r="41" spans="1:10" x14ac:dyDescent="0.3">
      <c r="A41" s="11" t="s">
        <v>80</v>
      </c>
      <c r="B41" s="4" t="s">
        <v>60</v>
      </c>
      <c r="C41" s="5">
        <v>5</v>
      </c>
      <c r="D41" s="5"/>
      <c r="E41" s="5"/>
      <c r="F41" s="28">
        <v>0</v>
      </c>
      <c r="G41" s="25">
        <f t="shared" si="0"/>
        <v>5</v>
      </c>
      <c r="H41" s="5">
        <v>5</v>
      </c>
      <c r="I41" s="28">
        <f>7.444</f>
        <v>7.444</v>
      </c>
      <c r="J41" s="28">
        <v>10</v>
      </c>
    </row>
    <row r="42" spans="1:10" x14ac:dyDescent="0.3">
      <c r="A42" s="11" t="s">
        <v>81</v>
      </c>
      <c r="B42" s="4" t="s">
        <v>59</v>
      </c>
      <c r="C42" s="5">
        <v>55</v>
      </c>
      <c r="D42" s="28">
        <v>15.3</v>
      </c>
      <c r="E42" s="5">
        <v>1.7</v>
      </c>
      <c r="F42" s="28">
        <v>17</v>
      </c>
      <c r="G42" s="25">
        <f t="shared" si="0"/>
        <v>38</v>
      </c>
      <c r="H42" s="5">
        <v>25</v>
      </c>
      <c r="I42" s="28">
        <f>45.338+6.142+5</f>
        <v>56.480000000000004</v>
      </c>
      <c r="J42" s="28">
        <v>56</v>
      </c>
    </row>
    <row r="43" spans="1:10" x14ac:dyDescent="0.3">
      <c r="A43" s="11" t="s">
        <v>82</v>
      </c>
      <c r="B43" s="4" t="s">
        <v>34</v>
      </c>
      <c r="C43" s="5">
        <v>149</v>
      </c>
      <c r="D43" s="28">
        <v>105.6</v>
      </c>
      <c r="E43" s="5">
        <v>35.9</v>
      </c>
      <c r="F43" s="28">
        <v>141.5</v>
      </c>
      <c r="G43" s="25">
        <f t="shared" si="0"/>
        <v>7.5</v>
      </c>
      <c r="H43" s="5">
        <f t="shared" si="3"/>
        <v>141.5</v>
      </c>
      <c r="I43" s="28">
        <v>153.92099999999999</v>
      </c>
      <c r="J43" s="28">
        <v>154.92099999999999</v>
      </c>
    </row>
    <row r="44" spans="1:10" x14ac:dyDescent="0.3">
      <c r="A44" s="11" t="s">
        <v>83</v>
      </c>
      <c r="B44" s="4" t="s">
        <v>56</v>
      </c>
      <c r="C44" s="5">
        <v>20</v>
      </c>
      <c r="D44" s="28">
        <v>25</v>
      </c>
      <c r="E44" s="5">
        <v>4.7</v>
      </c>
      <c r="F44" s="28">
        <v>29.7</v>
      </c>
      <c r="G44" s="25">
        <f t="shared" si="0"/>
        <v>-9.6999999999999993</v>
      </c>
      <c r="H44" s="5">
        <v>30</v>
      </c>
      <c r="I44" s="28">
        <f>5.2+6.67+4.231+5.495+12</f>
        <v>33.596000000000004</v>
      </c>
      <c r="J44" s="28">
        <f>22+15</f>
        <v>37</v>
      </c>
    </row>
    <row r="45" spans="1:10" x14ac:dyDescent="0.3">
      <c r="A45" s="11" t="s">
        <v>84</v>
      </c>
      <c r="B45" s="4" t="s">
        <v>62</v>
      </c>
      <c r="C45" s="5">
        <v>12</v>
      </c>
      <c r="D45" s="5"/>
      <c r="E45" s="28">
        <v>6</v>
      </c>
      <c r="F45" s="28">
        <v>6</v>
      </c>
      <c r="G45" s="25">
        <f t="shared" si="0"/>
        <v>6</v>
      </c>
      <c r="H45" s="5">
        <v>12</v>
      </c>
      <c r="I45" s="28">
        <v>12</v>
      </c>
      <c r="J45" s="28">
        <v>13</v>
      </c>
    </row>
    <row r="46" spans="1:10" x14ac:dyDescent="0.3">
      <c r="A46" s="11" t="s">
        <v>85</v>
      </c>
      <c r="B46" s="7" t="s">
        <v>58</v>
      </c>
      <c r="C46" s="5">
        <v>12</v>
      </c>
      <c r="D46" s="28">
        <v>6.8</v>
      </c>
      <c r="E46" s="28">
        <v>11.4</v>
      </c>
      <c r="F46" s="28">
        <v>21.2</v>
      </c>
      <c r="G46" s="25">
        <f t="shared" si="0"/>
        <v>-9.1999999999999993</v>
      </c>
      <c r="H46" s="5">
        <v>20.5</v>
      </c>
      <c r="I46" s="28">
        <f>7.02+1.38162+4.81+5.227</f>
        <v>18.43862</v>
      </c>
      <c r="J46" s="28">
        <f>7.02+1.38162+4.81+5.227</f>
        <v>18.43862</v>
      </c>
    </row>
    <row r="47" spans="1:10" x14ac:dyDescent="0.3">
      <c r="A47" s="11" t="s">
        <v>86</v>
      </c>
      <c r="B47" s="4" t="s">
        <v>35</v>
      </c>
      <c r="C47" s="5">
        <v>35</v>
      </c>
      <c r="D47" s="5">
        <v>22.2</v>
      </c>
      <c r="E47" s="5">
        <v>7.5</v>
      </c>
      <c r="F47" s="28">
        <v>29.7</v>
      </c>
      <c r="G47" s="25">
        <f t="shared" si="0"/>
        <v>5.3000000000000007</v>
      </c>
      <c r="H47" s="5">
        <f t="shared" si="3"/>
        <v>29.7</v>
      </c>
      <c r="I47" s="28">
        <v>31.106999999999999</v>
      </c>
      <c r="J47" s="28">
        <v>32.106999999999999</v>
      </c>
    </row>
    <row r="48" spans="1:10" ht="13.5" customHeight="1" x14ac:dyDescent="0.3">
      <c r="A48" s="11" t="s">
        <v>87</v>
      </c>
      <c r="B48" s="4" t="s">
        <v>115</v>
      </c>
      <c r="C48" s="5">
        <v>60</v>
      </c>
      <c r="D48" s="5">
        <v>8.9</v>
      </c>
      <c r="E48" s="5">
        <v>13.7</v>
      </c>
      <c r="F48" s="28">
        <v>22.6</v>
      </c>
      <c r="G48" s="25">
        <f t="shared" si="0"/>
        <v>37.4</v>
      </c>
      <c r="H48" s="5">
        <v>40</v>
      </c>
      <c r="I48" s="28">
        <f>45-12</f>
        <v>33</v>
      </c>
      <c r="J48" s="28">
        <v>30</v>
      </c>
    </row>
    <row r="49" spans="1:12" customFormat="1" ht="14.4" x14ac:dyDescent="0.3">
      <c r="A49" s="11" t="s">
        <v>88</v>
      </c>
      <c r="B49" s="9" t="s">
        <v>36</v>
      </c>
      <c r="C49" s="20">
        <v>70</v>
      </c>
      <c r="D49" s="20">
        <v>20.399999999999999</v>
      </c>
      <c r="E49" s="30">
        <v>45</v>
      </c>
      <c r="F49" s="28">
        <v>65.400000000000006</v>
      </c>
      <c r="G49" s="25">
        <f t="shared" si="0"/>
        <v>4.5999999999999943</v>
      </c>
      <c r="H49" s="5">
        <v>100</v>
      </c>
      <c r="I49" s="30">
        <v>73</v>
      </c>
      <c r="J49" s="41">
        <v>100</v>
      </c>
    </row>
    <row r="50" spans="1:12" customFormat="1" ht="14.4" x14ac:dyDescent="0.3">
      <c r="A50" s="11" t="s">
        <v>89</v>
      </c>
      <c r="B50" s="4" t="s">
        <v>64</v>
      </c>
      <c r="C50" s="20">
        <v>70</v>
      </c>
      <c r="D50" s="20">
        <v>58.2</v>
      </c>
      <c r="E50" s="20" t="e">
        <f>#REF!</f>
        <v>#REF!</v>
      </c>
      <c r="F50" s="28">
        <v>65.55</v>
      </c>
      <c r="G50" s="25">
        <f t="shared" si="0"/>
        <v>4.4500000000000028</v>
      </c>
      <c r="H50" s="5">
        <v>66</v>
      </c>
      <c r="I50" s="30">
        <f>5.5+0.6+7.1+5.999+2.99</f>
        <v>22.189</v>
      </c>
      <c r="J50" s="41">
        <f>22</f>
        <v>22</v>
      </c>
    </row>
    <row r="51" spans="1:12" customFormat="1" ht="14.4" x14ac:dyDescent="0.3">
      <c r="A51" s="11"/>
      <c r="B51" s="4" t="s">
        <v>116</v>
      </c>
      <c r="C51" s="20"/>
      <c r="D51" s="20"/>
      <c r="E51" s="20"/>
      <c r="F51" s="28"/>
      <c r="G51" s="25"/>
      <c r="H51" s="5"/>
      <c r="I51" s="30"/>
      <c r="J51" s="41">
        <v>120</v>
      </c>
    </row>
    <row r="52" spans="1:12" customFormat="1" ht="14.4" x14ac:dyDescent="0.3">
      <c r="A52" s="11" t="s">
        <v>90</v>
      </c>
      <c r="B52" s="8" t="s">
        <v>52</v>
      </c>
      <c r="C52" s="20">
        <v>20</v>
      </c>
      <c r="D52" s="30">
        <v>10.199999999999999</v>
      </c>
      <c r="E52" s="20"/>
      <c r="F52" s="28">
        <v>10.199999999999999</v>
      </c>
      <c r="G52" s="25">
        <f t="shared" si="0"/>
        <v>9.8000000000000007</v>
      </c>
      <c r="H52" s="5">
        <v>0</v>
      </c>
      <c r="I52" s="30">
        <v>0</v>
      </c>
      <c r="J52" s="30">
        <v>10</v>
      </c>
    </row>
    <row r="53" spans="1:12" customFormat="1" ht="14.4" x14ac:dyDescent="0.3">
      <c r="A53" s="11" t="s">
        <v>91</v>
      </c>
      <c r="B53" s="4" t="s">
        <v>47</v>
      </c>
      <c r="C53" s="20">
        <v>40</v>
      </c>
      <c r="D53" s="30">
        <v>6.5</v>
      </c>
      <c r="E53" s="30">
        <v>36.5</v>
      </c>
      <c r="F53" s="28">
        <v>40</v>
      </c>
      <c r="G53" s="25">
        <f t="shared" si="0"/>
        <v>0</v>
      </c>
      <c r="H53" s="5">
        <v>40</v>
      </c>
      <c r="I53" s="30">
        <f>17.24+4.597+6.59477</f>
        <v>28.43177</v>
      </c>
      <c r="J53" s="30">
        <v>40</v>
      </c>
    </row>
    <row r="54" spans="1:12" customFormat="1" ht="14.4" x14ac:dyDescent="0.3">
      <c r="A54" s="11" t="s">
        <v>92</v>
      </c>
      <c r="B54" s="4" t="s">
        <v>108</v>
      </c>
      <c r="C54" s="31"/>
      <c r="D54" s="31"/>
      <c r="E54" s="20"/>
      <c r="F54" s="28">
        <v>0</v>
      </c>
      <c r="G54" s="25">
        <f t="shared" si="0"/>
        <v>0</v>
      </c>
      <c r="H54" s="5">
        <f>5+40</f>
        <v>45</v>
      </c>
      <c r="I54" s="30">
        <f>3.7+4.2</f>
        <v>7.9</v>
      </c>
      <c r="J54" s="30">
        <f>3.7+4.2</f>
        <v>7.9</v>
      </c>
    </row>
    <row r="55" spans="1:12" x14ac:dyDescent="0.3">
      <c r="A55" s="11" t="s">
        <v>93</v>
      </c>
      <c r="B55" s="4" t="s">
        <v>114</v>
      </c>
      <c r="C55" s="5">
        <v>25</v>
      </c>
      <c r="D55" s="32">
        <v>0</v>
      </c>
      <c r="E55" s="28">
        <v>10.7</v>
      </c>
      <c r="F55" s="28">
        <v>10.7</v>
      </c>
      <c r="G55" s="25">
        <f t="shared" si="0"/>
        <v>14.3</v>
      </c>
      <c r="H55" s="5">
        <f t="shared" si="3"/>
        <v>10.7</v>
      </c>
      <c r="I55" s="28">
        <v>30</v>
      </c>
      <c r="J55" s="28">
        <v>30</v>
      </c>
      <c r="L55" s="38"/>
    </row>
    <row r="56" spans="1:12" customFormat="1" ht="15.6" x14ac:dyDescent="0.3">
      <c r="A56" s="17" t="s">
        <v>38</v>
      </c>
      <c r="B56" s="19" t="s">
        <v>39</v>
      </c>
      <c r="C56" s="20"/>
      <c r="D56" s="20"/>
      <c r="E56" s="20"/>
      <c r="F56" s="30"/>
      <c r="G56" s="25"/>
      <c r="H56" s="20"/>
      <c r="I56" s="30"/>
      <c r="J56" s="41"/>
    </row>
    <row r="57" spans="1:12" x14ac:dyDescent="0.3">
      <c r="A57" s="11"/>
      <c r="B57" s="10" t="s">
        <v>40</v>
      </c>
      <c r="C57" s="33">
        <v>-84.276960000000145</v>
      </c>
      <c r="D57" s="25">
        <v>280.7</v>
      </c>
      <c r="E57" s="25">
        <v>-251</v>
      </c>
      <c r="F57" s="34">
        <f>F3-F18</f>
        <v>24.850000000000364</v>
      </c>
      <c r="G57" s="25"/>
      <c r="H57" s="34">
        <f t="shared" ref="H57" si="4">H3-H18</f>
        <v>0.25171199999931559</v>
      </c>
      <c r="I57" s="28">
        <f>I3-I18</f>
        <v>119.09827869999936</v>
      </c>
      <c r="J57" s="28">
        <f>J3-J18</f>
        <v>-192.05837255200004</v>
      </c>
    </row>
    <row r="58" spans="1:12" x14ac:dyDescent="0.3">
      <c r="F58" s="21"/>
      <c r="G58" s="22"/>
      <c r="I58" s="38"/>
    </row>
    <row r="59" spans="1:12" x14ac:dyDescent="0.3">
      <c r="B59" s="1" t="s">
        <v>111</v>
      </c>
      <c r="F59" s="21"/>
      <c r="G59" s="22"/>
      <c r="I59" s="39">
        <v>97.614000000000004</v>
      </c>
    </row>
    <row r="60" spans="1:12" x14ac:dyDescent="0.3">
      <c r="F60" s="21"/>
      <c r="G60" s="23"/>
    </row>
    <row r="61" spans="1:12" x14ac:dyDescent="0.3">
      <c r="F61" s="21"/>
    </row>
    <row r="62" spans="1:12" x14ac:dyDescent="0.3">
      <c r="E62" s="1">
        <v>0</v>
      </c>
    </row>
  </sheetData>
  <mergeCells count="1">
    <mergeCell ref="B1:C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B1" sqref="B1:C1"/>
    </sheetView>
  </sheetViews>
  <sheetFormatPr defaultColWidth="9.109375" defaultRowHeight="13.8" x14ac:dyDescent="0.3"/>
  <cols>
    <col min="1" max="1" width="6.33203125" style="1" bestFit="1" customWidth="1"/>
    <col min="2" max="2" width="44.109375" style="1" customWidth="1"/>
    <col min="3" max="3" width="13" style="1" hidden="1" customWidth="1"/>
    <col min="4" max="4" width="9.109375" style="1" hidden="1" customWidth="1"/>
    <col min="5" max="5" width="8.44140625" style="1" hidden="1" customWidth="1"/>
    <col min="6" max="6" width="12.44140625" style="1" hidden="1" customWidth="1"/>
    <col min="7" max="7" width="1.5546875" style="1" hidden="1" customWidth="1"/>
    <col min="8" max="8" width="13.109375" style="1" bestFit="1" customWidth="1"/>
    <col min="9" max="9" width="9.33203125" style="1" bestFit="1" customWidth="1"/>
    <col min="10" max="10" width="12.5546875" style="1" bestFit="1" customWidth="1"/>
    <col min="11" max="16384" width="9.109375" style="1"/>
  </cols>
  <sheetData>
    <row r="1" spans="1:12" ht="44.4" customHeight="1" thickBot="1" x14ac:dyDescent="0.35">
      <c r="B1" s="114" t="s">
        <v>128</v>
      </c>
      <c r="C1" s="114"/>
      <c r="I1" s="115" t="s">
        <v>127</v>
      </c>
      <c r="J1" s="116"/>
    </row>
    <row r="2" spans="1:12" ht="27" customHeight="1" x14ac:dyDescent="0.3">
      <c r="A2" s="51" t="s">
        <v>0</v>
      </c>
      <c r="B2" s="88" t="s">
        <v>1</v>
      </c>
      <c r="C2" s="79" t="s">
        <v>103</v>
      </c>
      <c r="D2" s="52" t="s">
        <v>95</v>
      </c>
      <c r="E2" s="53" t="s">
        <v>94</v>
      </c>
      <c r="F2" s="54" t="s">
        <v>102</v>
      </c>
      <c r="G2" s="52" t="s">
        <v>101</v>
      </c>
      <c r="H2" s="52" t="s">
        <v>104</v>
      </c>
      <c r="I2" s="63" t="s">
        <v>107</v>
      </c>
      <c r="J2" s="71" t="s">
        <v>112</v>
      </c>
    </row>
    <row r="3" spans="1:12" ht="27" customHeight="1" x14ac:dyDescent="0.3">
      <c r="A3" s="55">
        <v>1</v>
      </c>
      <c r="B3" s="89" t="s">
        <v>63</v>
      </c>
      <c r="C3" s="80">
        <v>4309.0030400000005</v>
      </c>
      <c r="D3" s="25">
        <v>3323.1</v>
      </c>
      <c r="E3" s="25">
        <v>1076.9000000000001</v>
      </c>
      <c r="F3" s="34">
        <f>F4+F13+F14+F15+F16+F17</f>
        <v>4399.8999999999996</v>
      </c>
      <c r="G3" s="25">
        <f>C3-F3</f>
        <v>-90.896959999999126</v>
      </c>
      <c r="H3" s="25">
        <f>H4+H13+H14+H15+H16+H17</f>
        <v>4669.7517119999993</v>
      </c>
      <c r="I3" s="64">
        <f>I4+I13+I14+I15+I16+I17</f>
        <v>4779.1536899999992</v>
      </c>
      <c r="J3" s="72">
        <f>J4+J13+J14+J15+J16+J17</f>
        <v>4769.53078</v>
      </c>
    </row>
    <row r="4" spans="1:12" x14ac:dyDescent="0.3">
      <c r="A4" s="56" t="s">
        <v>2</v>
      </c>
      <c r="B4" s="90" t="s">
        <v>3</v>
      </c>
      <c r="C4" s="81">
        <v>3271.9600000000005</v>
      </c>
      <c r="D4" s="25">
        <v>2541.1999999999998</v>
      </c>
      <c r="E4" s="25">
        <v>817.6</v>
      </c>
      <c r="F4" s="34">
        <f>SUM(F5:F12)</f>
        <v>3358.7999999999997</v>
      </c>
      <c r="G4" s="25">
        <f>C4-F4</f>
        <v>-86.839999999999236</v>
      </c>
      <c r="H4" s="34">
        <f>SUM(H5:H12)</f>
        <v>3395.7017119999996</v>
      </c>
      <c r="I4" s="65">
        <f>SUM(I5:I12)</f>
        <v>3531.8376499999995</v>
      </c>
      <c r="J4" s="72">
        <f>SUM(J5:J12)</f>
        <v>3479.8769699999998</v>
      </c>
    </row>
    <row r="5" spans="1:12" hidden="1" x14ac:dyDescent="0.3">
      <c r="A5" s="56" t="s">
        <v>4</v>
      </c>
      <c r="B5" s="91" t="s">
        <v>98</v>
      </c>
      <c r="C5" s="82"/>
      <c r="D5" s="6">
        <v>93.4</v>
      </c>
      <c r="E5" s="5"/>
      <c r="F5" s="28">
        <v>93.4</v>
      </c>
      <c r="G5" s="25">
        <f>C5-F5</f>
        <v>-93.4</v>
      </c>
      <c r="H5" s="28">
        <v>0</v>
      </c>
      <c r="I5" s="66">
        <v>0</v>
      </c>
      <c r="J5" s="73">
        <v>0</v>
      </c>
    </row>
    <row r="6" spans="1:12" x14ac:dyDescent="0.3">
      <c r="A6" s="56" t="s">
        <v>4</v>
      </c>
      <c r="B6" s="91" t="s">
        <v>16</v>
      </c>
      <c r="C6" s="83">
        <v>258.26</v>
      </c>
      <c r="D6" s="28">
        <v>190.9</v>
      </c>
      <c r="E6" s="5">
        <v>63.6</v>
      </c>
      <c r="F6" s="28">
        <v>254.5</v>
      </c>
      <c r="G6" s="25">
        <f>C6-F6</f>
        <v>3.7599999999999909</v>
      </c>
      <c r="H6" s="28">
        <f>F6</f>
        <v>254.5</v>
      </c>
      <c r="I6" s="66">
        <v>254.58851000000001</v>
      </c>
      <c r="J6" s="73">
        <v>254.58851000000001</v>
      </c>
    </row>
    <row r="7" spans="1:12" x14ac:dyDescent="0.3">
      <c r="A7" s="56" t="s">
        <v>5</v>
      </c>
      <c r="B7" s="91" t="s">
        <v>110</v>
      </c>
      <c r="C7" s="83"/>
      <c r="D7" s="28"/>
      <c r="E7" s="5"/>
      <c r="F7" s="28"/>
      <c r="G7" s="25"/>
      <c r="H7" s="28"/>
      <c r="I7" s="64">
        <v>145.96068</v>
      </c>
      <c r="J7" s="73"/>
    </row>
    <row r="8" spans="1:12" x14ac:dyDescent="0.3">
      <c r="A8" s="56" t="s">
        <v>7</v>
      </c>
      <c r="B8" s="91" t="s">
        <v>6</v>
      </c>
      <c r="C8" s="82">
        <v>576.28700000000003</v>
      </c>
      <c r="D8" s="28">
        <v>431.8</v>
      </c>
      <c r="E8" s="5">
        <v>144.30000000000001</v>
      </c>
      <c r="F8" s="28">
        <v>576.1</v>
      </c>
      <c r="G8" s="25">
        <f t="shared" ref="G8:G51" si="0">C8-F8</f>
        <v>0.18700000000001182</v>
      </c>
      <c r="H8" s="28">
        <f>4.7*10246.88*3/1000+4.88*10246.88*9/1000</f>
        <v>594.52397759999985</v>
      </c>
      <c r="I8" s="66">
        <f>591.79644+2.72694</f>
        <v>594.52337999999997</v>
      </c>
      <c r="J8" s="73">
        <f>591.79644+2.72694+19</f>
        <v>613.52337999999997</v>
      </c>
    </row>
    <row r="9" spans="1:12" x14ac:dyDescent="0.3">
      <c r="A9" s="56" t="s">
        <v>9</v>
      </c>
      <c r="B9" s="91" t="s">
        <v>8</v>
      </c>
      <c r="C9" s="82">
        <v>2163.8200000000002</v>
      </c>
      <c r="D9" s="28">
        <v>1620.2</v>
      </c>
      <c r="E9" s="5">
        <v>541.5</v>
      </c>
      <c r="F9" s="28">
        <v>2161.6999999999998</v>
      </c>
      <c r="G9" s="25">
        <f t="shared" si="0"/>
        <v>2.1200000000003456</v>
      </c>
      <c r="H9" s="28">
        <f>17.95*10246.88*3/1000+18.67*10246.88*9/1000</f>
        <v>2273.5777343999998</v>
      </c>
      <c r="I9" s="66">
        <f>2253.39594+10.38606</f>
        <v>2263.7819999999997</v>
      </c>
      <c r="J9" s="73">
        <f>2253.39594+10.38606+75</f>
        <v>2338.7819999999997</v>
      </c>
    </row>
    <row r="10" spans="1:12" x14ac:dyDescent="0.3">
      <c r="A10" s="56" t="s">
        <v>11</v>
      </c>
      <c r="B10" s="92" t="s">
        <v>10</v>
      </c>
      <c r="C10" s="84">
        <v>68.376000000000005</v>
      </c>
      <c r="D10" s="28">
        <v>50.8</v>
      </c>
      <c r="E10" s="5">
        <v>16.899999999999999</v>
      </c>
      <c r="F10" s="28">
        <v>67.699999999999989</v>
      </c>
      <c r="G10" s="25">
        <f t="shared" si="0"/>
        <v>0.67600000000001614</v>
      </c>
      <c r="H10" s="28">
        <f>F10</f>
        <v>67.699999999999989</v>
      </c>
      <c r="I10" s="66">
        <v>67.634519999999995</v>
      </c>
      <c r="J10" s="73">
        <v>67.634519999999995</v>
      </c>
    </row>
    <row r="11" spans="1:12" x14ac:dyDescent="0.3">
      <c r="A11" s="56" t="s">
        <v>13</v>
      </c>
      <c r="B11" s="92" t="s">
        <v>12</v>
      </c>
      <c r="C11" s="84">
        <v>11.276999999999999</v>
      </c>
      <c r="D11" s="28">
        <v>8.3000000000000007</v>
      </c>
      <c r="E11" s="5">
        <v>2.8</v>
      </c>
      <c r="F11" s="28">
        <v>11.100000000000001</v>
      </c>
      <c r="G11" s="25">
        <f t="shared" si="0"/>
        <v>0.17699999999999783</v>
      </c>
      <c r="H11" s="28">
        <f>F11</f>
        <v>11.100000000000001</v>
      </c>
      <c r="I11" s="66">
        <v>11.06833</v>
      </c>
      <c r="J11" s="73">
        <v>11.06833</v>
      </c>
    </row>
    <row r="12" spans="1:12" x14ac:dyDescent="0.3">
      <c r="A12" s="56" t="s">
        <v>15</v>
      </c>
      <c r="B12" s="92" t="s">
        <v>14</v>
      </c>
      <c r="C12" s="84">
        <v>193.94</v>
      </c>
      <c r="D12" s="28">
        <v>145.80000000000001</v>
      </c>
      <c r="E12" s="5">
        <v>48.5</v>
      </c>
      <c r="F12" s="28">
        <v>194.3</v>
      </c>
      <c r="G12" s="25">
        <f t="shared" si="0"/>
        <v>-0.36000000000001364</v>
      </c>
      <c r="H12" s="28">
        <f>F12</f>
        <v>194.3</v>
      </c>
      <c r="I12" s="66">
        <v>194.28022999999999</v>
      </c>
      <c r="J12" s="73">
        <v>194.28022999999999</v>
      </c>
    </row>
    <row r="13" spans="1:12" customFormat="1" ht="14.4" x14ac:dyDescent="0.3">
      <c r="A13" s="57" t="s">
        <v>41</v>
      </c>
      <c r="B13" s="90" t="s">
        <v>49</v>
      </c>
      <c r="C13" s="80">
        <v>65.043040000000005</v>
      </c>
      <c r="D13" s="29">
        <v>48.5</v>
      </c>
      <c r="E13" s="24">
        <v>17.100000000000001</v>
      </c>
      <c r="F13" s="34">
        <v>65.599999999999994</v>
      </c>
      <c r="G13" s="25">
        <f t="shared" si="0"/>
        <v>-0.55695999999998946</v>
      </c>
      <c r="H13" s="34">
        <f>F13</f>
        <v>65.599999999999994</v>
      </c>
      <c r="I13" s="67">
        <f>7.11065+2.75+37.40516</f>
        <v>47.265810000000002</v>
      </c>
      <c r="J13" s="74">
        <f>7.11065+2.75+37.40516</f>
        <v>47.265810000000002</v>
      </c>
    </row>
    <row r="14" spans="1:12" customFormat="1" ht="14.4" x14ac:dyDescent="0.3">
      <c r="A14" s="57" t="s">
        <v>67</v>
      </c>
      <c r="B14" s="90" t="s">
        <v>43</v>
      </c>
      <c r="C14" s="80">
        <v>459</v>
      </c>
      <c r="D14" s="29">
        <v>349.5</v>
      </c>
      <c r="E14" s="24">
        <v>117</v>
      </c>
      <c r="F14" s="34">
        <v>466.5</v>
      </c>
      <c r="G14" s="25">
        <f t="shared" si="0"/>
        <v>-7.5</v>
      </c>
      <c r="H14" s="34">
        <f>0.75*51*3+0.9*51*9</f>
        <v>527.84999999999991</v>
      </c>
      <c r="I14" s="67">
        <v>536.70000000000005</v>
      </c>
      <c r="J14" s="74">
        <v>550</v>
      </c>
      <c r="L14" s="40"/>
    </row>
    <row r="15" spans="1:12" customFormat="1" ht="14.4" x14ac:dyDescent="0.3">
      <c r="A15" s="57" t="s">
        <v>42</v>
      </c>
      <c r="B15" s="93" t="s">
        <v>121</v>
      </c>
      <c r="C15" s="80">
        <v>206</v>
      </c>
      <c r="D15" s="29">
        <v>155.19999999999999</v>
      </c>
      <c r="E15" s="24">
        <v>55.2</v>
      </c>
      <c r="F15" s="34">
        <v>210.39999999999998</v>
      </c>
      <c r="G15" s="25">
        <f t="shared" si="0"/>
        <v>-4.3999999999999773</v>
      </c>
      <c r="H15" s="34">
        <v>400</v>
      </c>
      <c r="I15" s="67">
        <f>301.6+45.50323+57</f>
        <v>404.10323000000005</v>
      </c>
      <c r="J15" s="74">
        <v>445</v>
      </c>
    </row>
    <row r="16" spans="1:12" customFormat="1" ht="14.4" x14ac:dyDescent="0.3">
      <c r="A16" s="57" t="s">
        <v>44</v>
      </c>
      <c r="B16" s="90" t="s">
        <v>46</v>
      </c>
      <c r="C16" s="80">
        <v>157</v>
      </c>
      <c r="D16" s="29">
        <v>122.2</v>
      </c>
      <c r="E16" s="24">
        <v>38.4</v>
      </c>
      <c r="F16" s="34">
        <v>160.6</v>
      </c>
      <c r="G16" s="25">
        <f t="shared" si="0"/>
        <v>-3.5999999999999943</v>
      </c>
      <c r="H16" s="34">
        <f>F16</f>
        <v>160.6</v>
      </c>
      <c r="I16" s="67">
        <f>159.388</f>
        <v>159.38800000000001</v>
      </c>
      <c r="J16" s="74">
        <f>159.388</f>
        <v>159.38800000000001</v>
      </c>
    </row>
    <row r="17" spans="1:10" customFormat="1" ht="15" thickBot="1" x14ac:dyDescent="0.35">
      <c r="A17" s="106" t="s">
        <v>45</v>
      </c>
      <c r="B17" s="98" t="s">
        <v>57</v>
      </c>
      <c r="C17" s="107">
        <v>150</v>
      </c>
      <c r="D17" s="108">
        <v>106.5</v>
      </c>
      <c r="E17" s="109">
        <v>31.5</v>
      </c>
      <c r="F17" s="62">
        <v>138</v>
      </c>
      <c r="G17" s="61">
        <f t="shared" si="0"/>
        <v>12</v>
      </c>
      <c r="H17" s="62">
        <v>120</v>
      </c>
      <c r="I17" s="110">
        <v>99.858999999999995</v>
      </c>
      <c r="J17" s="111">
        <v>88</v>
      </c>
    </row>
    <row r="18" spans="1:10" ht="25.2" customHeight="1" x14ac:dyDescent="0.3">
      <c r="A18" s="99" t="s">
        <v>17</v>
      </c>
      <c r="B18" s="100" t="s">
        <v>18</v>
      </c>
      <c r="C18" s="101">
        <v>4393.2800000000007</v>
      </c>
      <c r="D18" s="102">
        <v>3042.5</v>
      </c>
      <c r="E18" s="102">
        <v>1327.9</v>
      </c>
      <c r="F18" s="103">
        <f>F19+F20+F21+F31</f>
        <v>4375.0499999999993</v>
      </c>
      <c r="G18" s="102">
        <f t="shared" si="0"/>
        <v>18.230000000001382</v>
      </c>
      <c r="H18" s="103">
        <f>H19+H20+H21+H31</f>
        <v>4669.5</v>
      </c>
      <c r="I18" s="104">
        <f>I19+I20+I21+I31+I57</f>
        <v>4649.9056412999998</v>
      </c>
      <c r="J18" s="105">
        <f>J19+J20+J21+J31+J57</f>
        <v>4964.705192552</v>
      </c>
    </row>
    <row r="19" spans="1:10" ht="13.95" customHeight="1" x14ac:dyDescent="0.3">
      <c r="A19" s="58" t="s">
        <v>19</v>
      </c>
      <c r="B19" s="90" t="s">
        <v>96</v>
      </c>
      <c r="C19" s="81">
        <v>30</v>
      </c>
      <c r="D19" s="26">
        <v>79.7</v>
      </c>
      <c r="E19" s="25"/>
      <c r="F19" s="28">
        <f>D19+E19</f>
        <v>79.7</v>
      </c>
      <c r="G19" s="25">
        <f t="shared" si="0"/>
        <v>-49.7</v>
      </c>
      <c r="H19" s="5"/>
      <c r="I19" s="64">
        <v>0</v>
      </c>
      <c r="J19" s="75"/>
    </row>
    <row r="20" spans="1:10" x14ac:dyDescent="0.3">
      <c r="A20" s="58" t="s">
        <v>20</v>
      </c>
      <c r="B20" s="90" t="s">
        <v>37</v>
      </c>
      <c r="C20" s="81">
        <v>258</v>
      </c>
      <c r="D20" s="25">
        <v>132.1</v>
      </c>
      <c r="E20" s="25">
        <v>49.6</v>
      </c>
      <c r="F20" s="28">
        <f>D20+E20</f>
        <v>181.7</v>
      </c>
      <c r="G20" s="25">
        <f t="shared" si="0"/>
        <v>76.300000000000011</v>
      </c>
      <c r="H20" s="5">
        <f>F20+150</f>
        <v>331.7</v>
      </c>
      <c r="I20" s="64">
        <f>1.5+8.88+350.31724</f>
        <v>360.69724000000002</v>
      </c>
      <c r="J20" s="72">
        <f>447-30</f>
        <v>417</v>
      </c>
    </row>
    <row r="21" spans="1:10" x14ac:dyDescent="0.3">
      <c r="A21" s="58" t="s">
        <v>23</v>
      </c>
      <c r="B21" s="90" t="s">
        <v>21</v>
      </c>
      <c r="C21" s="81">
        <v>635</v>
      </c>
      <c r="D21" s="25">
        <v>248.8</v>
      </c>
      <c r="E21" s="25">
        <v>388.7</v>
      </c>
      <c r="F21" s="34">
        <f>SUM(F22:F30)</f>
        <v>637.4</v>
      </c>
      <c r="G21" s="25">
        <f t="shared" si="0"/>
        <v>-2.3999999999999773</v>
      </c>
      <c r="H21" s="5">
        <f>SUM(H22:H29)</f>
        <v>620</v>
      </c>
      <c r="I21" s="64">
        <f>SUM(I22:I30)</f>
        <v>605.14199999999994</v>
      </c>
      <c r="J21" s="72">
        <f>SUM(J22:J30)</f>
        <v>640</v>
      </c>
    </row>
    <row r="22" spans="1:10" x14ac:dyDescent="0.3">
      <c r="A22" s="59" t="s">
        <v>24</v>
      </c>
      <c r="B22" s="91" t="s">
        <v>22</v>
      </c>
      <c r="C22" s="82">
        <v>80</v>
      </c>
      <c r="D22" s="5">
        <v>196.2</v>
      </c>
      <c r="E22" s="5"/>
      <c r="F22" s="28">
        <v>196.2</v>
      </c>
      <c r="G22" s="25">
        <f t="shared" si="0"/>
        <v>-116.19999999999999</v>
      </c>
      <c r="H22" s="5">
        <v>100</v>
      </c>
      <c r="I22" s="66">
        <v>105.31</v>
      </c>
      <c r="J22" s="75">
        <v>70</v>
      </c>
    </row>
    <row r="23" spans="1:10" x14ac:dyDescent="0.3">
      <c r="A23" s="59" t="s">
        <v>25</v>
      </c>
      <c r="B23" s="91" t="s">
        <v>55</v>
      </c>
      <c r="C23" s="82">
        <v>20</v>
      </c>
      <c r="D23" s="5"/>
      <c r="E23" s="5">
        <v>7.5</v>
      </c>
      <c r="F23" s="28">
        <v>7.5</v>
      </c>
      <c r="G23" s="25">
        <f t="shared" si="0"/>
        <v>12.5</v>
      </c>
      <c r="H23" s="5">
        <v>50</v>
      </c>
      <c r="I23" s="66">
        <v>303.44499999999999</v>
      </c>
      <c r="J23" s="75">
        <v>300</v>
      </c>
    </row>
    <row r="24" spans="1:10" x14ac:dyDescent="0.3">
      <c r="A24" s="59" t="s">
        <v>26</v>
      </c>
      <c r="B24" s="91" t="s">
        <v>97</v>
      </c>
      <c r="C24" s="82">
        <v>30</v>
      </c>
      <c r="D24" s="5">
        <v>41.6</v>
      </c>
      <c r="E24" s="5">
        <v>8</v>
      </c>
      <c r="F24" s="28">
        <v>49.6</v>
      </c>
      <c r="G24" s="25">
        <f t="shared" si="0"/>
        <v>-19.600000000000001</v>
      </c>
      <c r="H24" s="5">
        <v>150</v>
      </c>
      <c r="I24" s="68">
        <f>147.1</f>
        <v>147.1</v>
      </c>
      <c r="J24" s="75">
        <v>100</v>
      </c>
    </row>
    <row r="25" spans="1:10" x14ac:dyDescent="0.3">
      <c r="A25" s="59" t="s">
        <v>68</v>
      </c>
      <c r="B25" s="91" t="s">
        <v>61</v>
      </c>
      <c r="C25" s="82">
        <v>35</v>
      </c>
      <c r="D25" s="5">
        <v>3.8</v>
      </c>
      <c r="E25" s="5"/>
      <c r="F25" s="28">
        <v>3.8</v>
      </c>
      <c r="G25" s="25">
        <f t="shared" si="0"/>
        <v>31.2</v>
      </c>
      <c r="H25" s="5">
        <v>10</v>
      </c>
      <c r="I25" s="68">
        <f>5.846+4.6+1.691+20+10</f>
        <v>42.137</v>
      </c>
      <c r="J25" s="75">
        <v>40</v>
      </c>
    </row>
    <row r="26" spans="1:10" hidden="1" x14ac:dyDescent="0.3">
      <c r="A26" s="59" t="s">
        <v>69</v>
      </c>
      <c r="B26" s="91" t="s">
        <v>50</v>
      </c>
      <c r="C26" s="82">
        <v>10</v>
      </c>
      <c r="D26" s="5">
        <v>1</v>
      </c>
      <c r="E26" s="5"/>
      <c r="F26" s="28">
        <v>1</v>
      </c>
      <c r="G26" s="25">
        <f t="shared" si="0"/>
        <v>9</v>
      </c>
      <c r="H26" s="5"/>
      <c r="I26" s="68"/>
      <c r="J26" s="75"/>
    </row>
    <row r="27" spans="1:10" x14ac:dyDescent="0.3">
      <c r="A27" s="59" t="s">
        <v>119</v>
      </c>
      <c r="B27" s="91" t="s">
        <v>54</v>
      </c>
      <c r="C27" s="82">
        <v>15</v>
      </c>
      <c r="D27" s="5"/>
      <c r="E27" s="5"/>
      <c r="F27" s="28">
        <v>0</v>
      </c>
      <c r="G27" s="25">
        <f t="shared" si="0"/>
        <v>15</v>
      </c>
      <c r="H27" s="5">
        <v>10</v>
      </c>
      <c r="I27" s="68"/>
      <c r="J27" s="75"/>
    </row>
    <row r="28" spans="1:10" x14ac:dyDescent="0.3">
      <c r="A28" s="59" t="s">
        <v>69</v>
      </c>
      <c r="B28" s="91" t="s">
        <v>126</v>
      </c>
      <c r="C28" s="82"/>
      <c r="D28" s="5"/>
      <c r="E28" s="5"/>
      <c r="F28" s="28"/>
      <c r="G28" s="25"/>
      <c r="H28" s="5"/>
      <c r="I28" s="68"/>
      <c r="J28" s="75">
        <v>30</v>
      </c>
    </row>
    <row r="29" spans="1:10" x14ac:dyDescent="0.3">
      <c r="A29" s="59" t="s">
        <v>29</v>
      </c>
      <c r="B29" s="94" t="s">
        <v>113</v>
      </c>
      <c r="C29" s="82">
        <v>45</v>
      </c>
      <c r="D29" s="6">
        <v>6.2</v>
      </c>
      <c r="E29" s="5"/>
      <c r="F29" s="28">
        <v>6.2</v>
      </c>
      <c r="G29" s="25">
        <f t="shared" si="0"/>
        <v>38.799999999999997</v>
      </c>
      <c r="H29" s="28">
        <v>300</v>
      </c>
      <c r="I29" s="68">
        <f>1+1.15+5</f>
        <v>7.15</v>
      </c>
      <c r="J29" s="75">
        <v>100</v>
      </c>
    </row>
    <row r="30" spans="1:10" hidden="1" x14ac:dyDescent="0.3">
      <c r="A30" s="59" t="s">
        <v>33</v>
      </c>
      <c r="B30" s="91" t="s">
        <v>105</v>
      </c>
      <c r="C30" s="82">
        <v>400</v>
      </c>
      <c r="D30" s="5"/>
      <c r="E30" s="5">
        <v>373.1</v>
      </c>
      <c r="F30" s="28">
        <v>373.1</v>
      </c>
      <c r="G30" s="25">
        <f t="shared" si="0"/>
        <v>26.899999999999977</v>
      </c>
      <c r="H30" s="5">
        <v>0</v>
      </c>
      <c r="I30" s="68"/>
      <c r="J30" s="75"/>
    </row>
    <row r="31" spans="1:10" x14ac:dyDescent="0.3">
      <c r="A31" s="58" t="s">
        <v>70</v>
      </c>
      <c r="B31" s="90" t="s">
        <v>48</v>
      </c>
      <c r="C31" s="81">
        <v>3470.28</v>
      </c>
      <c r="D31" s="25">
        <v>2581.9</v>
      </c>
      <c r="E31" s="25">
        <v>889.7</v>
      </c>
      <c r="F31" s="34">
        <f>SUM(F32:F40)+F41+F42+F43+F44+F45+F46+F47+F48+F49+F50+F51+F53+F54+F55+F56</f>
        <v>3476.2499999999995</v>
      </c>
      <c r="G31" s="25">
        <f t="shared" si="0"/>
        <v>-5.9699999999993452</v>
      </c>
      <c r="H31" s="25">
        <f>SUM(H32:H56)</f>
        <v>3717.7999999999997</v>
      </c>
      <c r="I31" s="65">
        <f>SUM(I32:I56)</f>
        <v>3684.0664012999996</v>
      </c>
      <c r="J31" s="72">
        <f>SUM(J32:J56)</f>
        <v>3907.705192552</v>
      </c>
    </row>
    <row r="32" spans="1:10" ht="27.6" customHeight="1" x14ac:dyDescent="0.3">
      <c r="A32" s="59" t="s">
        <v>71</v>
      </c>
      <c r="B32" s="94" t="s">
        <v>65</v>
      </c>
      <c r="C32" s="84">
        <v>1462</v>
      </c>
      <c r="D32" s="5">
        <v>1126.5999999999999</v>
      </c>
      <c r="E32" s="28">
        <v>335.1</v>
      </c>
      <c r="F32" s="28">
        <v>1461.6999999999998</v>
      </c>
      <c r="G32" s="25">
        <f t="shared" si="0"/>
        <v>0.3000000000001819</v>
      </c>
      <c r="H32" s="5">
        <v>1520</v>
      </c>
      <c r="I32" s="68">
        <f>1517.8595-9</f>
        <v>1508.8595</v>
      </c>
      <c r="J32" s="73">
        <f>I32*1.04</f>
        <v>1569.21388</v>
      </c>
    </row>
    <row r="33" spans="1:12" ht="13.95" customHeight="1" x14ac:dyDescent="0.3">
      <c r="A33" s="59" t="s">
        <v>72</v>
      </c>
      <c r="B33" s="94" t="s">
        <v>66</v>
      </c>
      <c r="C33" s="84">
        <v>660</v>
      </c>
      <c r="D33" s="28">
        <v>489.7</v>
      </c>
      <c r="E33" s="28">
        <v>166.2</v>
      </c>
      <c r="F33" s="28">
        <v>655.9</v>
      </c>
      <c r="G33" s="25">
        <f t="shared" si="0"/>
        <v>4.1000000000000227</v>
      </c>
      <c r="H33" s="5">
        <v>680</v>
      </c>
      <c r="I33" s="68">
        <v>715.48365000000001</v>
      </c>
      <c r="J33" s="73">
        <f t="shared" ref="J33:J35" si="1">I33*1.04</f>
        <v>744.10299600000008</v>
      </c>
      <c r="L33" s="38"/>
    </row>
    <row r="34" spans="1:12" x14ac:dyDescent="0.3">
      <c r="A34" s="59" t="s">
        <v>73</v>
      </c>
      <c r="B34" s="91" t="s">
        <v>99</v>
      </c>
      <c r="C34" s="84">
        <v>423.28000000000003</v>
      </c>
      <c r="D34" s="28">
        <v>340.2</v>
      </c>
      <c r="E34" s="28">
        <v>101.2</v>
      </c>
      <c r="F34" s="28">
        <v>441.4</v>
      </c>
      <c r="G34" s="25">
        <f t="shared" si="0"/>
        <v>-18.119999999999948</v>
      </c>
      <c r="H34" s="5">
        <v>459</v>
      </c>
      <c r="I34" s="68">
        <f>I32*30.2/100</f>
        <v>455.67556900000005</v>
      </c>
      <c r="J34" s="73">
        <f t="shared" si="1"/>
        <v>473.90259176000006</v>
      </c>
    </row>
    <row r="35" spans="1:12" x14ac:dyDescent="0.3">
      <c r="A35" s="59"/>
      <c r="B35" s="91" t="s">
        <v>100</v>
      </c>
      <c r="C35" s="84"/>
      <c r="D35" s="28">
        <v>147.9</v>
      </c>
      <c r="E35" s="28">
        <v>50.2</v>
      </c>
      <c r="F35" s="28">
        <v>198.10000000000002</v>
      </c>
      <c r="G35" s="25">
        <f t="shared" si="0"/>
        <v>-198.10000000000002</v>
      </c>
      <c r="H35" s="5">
        <v>205</v>
      </c>
      <c r="I35" s="68">
        <f>I33*30.2/100</f>
        <v>216.07606230000002</v>
      </c>
      <c r="J35" s="73">
        <f t="shared" si="1"/>
        <v>224.71910479200002</v>
      </c>
    </row>
    <row r="36" spans="1:12" x14ac:dyDescent="0.3">
      <c r="A36" s="59" t="s">
        <v>74</v>
      </c>
      <c r="B36" s="91" t="s">
        <v>27</v>
      </c>
      <c r="C36" s="82">
        <v>14</v>
      </c>
      <c r="D36" s="5">
        <v>10.8</v>
      </c>
      <c r="E36" s="5">
        <v>3.6</v>
      </c>
      <c r="F36" s="28">
        <v>14.4</v>
      </c>
      <c r="G36" s="25">
        <f t="shared" si="0"/>
        <v>-0.40000000000000036</v>
      </c>
      <c r="H36" s="5">
        <f>F36</f>
        <v>14.4</v>
      </c>
      <c r="I36" s="68">
        <v>14.4</v>
      </c>
      <c r="J36" s="73">
        <v>14.4</v>
      </c>
    </row>
    <row r="37" spans="1:12" x14ac:dyDescent="0.3">
      <c r="A37" s="59" t="s">
        <v>75</v>
      </c>
      <c r="B37" s="91" t="s">
        <v>28</v>
      </c>
      <c r="C37" s="82">
        <v>120</v>
      </c>
      <c r="D37" s="5">
        <v>25</v>
      </c>
      <c r="E37" s="5">
        <v>15</v>
      </c>
      <c r="F37" s="28">
        <v>40</v>
      </c>
      <c r="G37" s="25">
        <f t="shared" si="0"/>
        <v>80</v>
      </c>
      <c r="H37" s="5">
        <v>60</v>
      </c>
      <c r="I37" s="68">
        <v>60</v>
      </c>
      <c r="J37" s="73">
        <v>60</v>
      </c>
    </row>
    <row r="38" spans="1:12" x14ac:dyDescent="0.3">
      <c r="A38" s="59" t="s">
        <v>77</v>
      </c>
      <c r="B38" s="91" t="s">
        <v>30</v>
      </c>
      <c r="C38" s="82">
        <v>7</v>
      </c>
      <c r="D38" s="5">
        <v>3</v>
      </c>
      <c r="E38" s="5"/>
      <c r="F38" s="28">
        <v>3</v>
      </c>
      <c r="G38" s="25">
        <f t="shared" si="0"/>
        <v>4</v>
      </c>
      <c r="H38" s="5">
        <v>6</v>
      </c>
      <c r="I38" s="68">
        <v>3</v>
      </c>
      <c r="J38" s="73">
        <v>3</v>
      </c>
    </row>
    <row r="39" spans="1:12" x14ac:dyDescent="0.3">
      <c r="A39" s="59" t="s">
        <v>76</v>
      </c>
      <c r="B39" s="91" t="s">
        <v>32</v>
      </c>
      <c r="C39" s="82">
        <v>18</v>
      </c>
      <c r="D39" s="5">
        <v>13.5</v>
      </c>
      <c r="E39" s="5">
        <v>4.5</v>
      </c>
      <c r="F39" s="28">
        <v>18</v>
      </c>
      <c r="G39" s="25">
        <f t="shared" si="0"/>
        <v>0</v>
      </c>
      <c r="H39" s="5">
        <f>F39</f>
        <v>18</v>
      </c>
      <c r="I39" s="68">
        <v>18</v>
      </c>
      <c r="J39" s="73">
        <v>18</v>
      </c>
    </row>
    <row r="40" spans="1:12" ht="41.4" x14ac:dyDescent="0.3">
      <c r="A40" s="59" t="s">
        <v>78</v>
      </c>
      <c r="B40" s="94" t="s">
        <v>118</v>
      </c>
      <c r="C40" s="82">
        <v>65</v>
      </c>
      <c r="D40" s="5">
        <v>46.3</v>
      </c>
      <c r="E40" s="5"/>
      <c r="F40" s="28">
        <v>46.3</v>
      </c>
      <c r="G40" s="25">
        <f t="shared" si="0"/>
        <v>18.700000000000003</v>
      </c>
      <c r="H40" s="5">
        <v>50</v>
      </c>
      <c r="I40" s="68">
        <f>39.193+9.17</f>
        <v>48.363</v>
      </c>
      <c r="J40" s="73">
        <v>15</v>
      </c>
    </row>
    <row r="41" spans="1:12" x14ac:dyDescent="0.3">
      <c r="A41" s="59" t="s">
        <v>120</v>
      </c>
      <c r="B41" s="95" t="s">
        <v>109</v>
      </c>
      <c r="C41" s="82">
        <v>128</v>
      </c>
      <c r="D41" s="5">
        <v>99.9</v>
      </c>
      <c r="E41" s="5">
        <v>38</v>
      </c>
      <c r="F41" s="28">
        <v>137.9</v>
      </c>
      <c r="G41" s="25">
        <f t="shared" si="0"/>
        <v>-9.9000000000000057</v>
      </c>
      <c r="H41" s="5">
        <v>140</v>
      </c>
      <c r="I41" s="68">
        <f>125.133+10</f>
        <v>135.13299999999998</v>
      </c>
      <c r="J41" s="73">
        <v>135</v>
      </c>
    </row>
    <row r="42" spans="1:12" x14ac:dyDescent="0.3">
      <c r="A42" s="59" t="s">
        <v>79</v>
      </c>
      <c r="B42" s="95" t="s">
        <v>122</v>
      </c>
      <c r="C42" s="82">
        <v>5</v>
      </c>
      <c r="D42" s="5"/>
      <c r="E42" s="5"/>
      <c r="F42" s="28">
        <v>0</v>
      </c>
      <c r="G42" s="25">
        <f t="shared" si="0"/>
        <v>5</v>
      </c>
      <c r="H42" s="5">
        <v>5</v>
      </c>
      <c r="I42" s="68">
        <f>7.444</f>
        <v>7.444</v>
      </c>
      <c r="J42" s="73">
        <v>10</v>
      </c>
    </row>
    <row r="43" spans="1:12" x14ac:dyDescent="0.3">
      <c r="A43" s="59" t="s">
        <v>80</v>
      </c>
      <c r="B43" s="95" t="s">
        <v>59</v>
      </c>
      <c r="C43" s="82">
        <v>55</v>
      </c>
      <c r="D43" s="28">
        <v>15.3</v>
      </c>
      <c r="E43" s="5">
        <v>1.7</v>
      </c>
      <c r="F43" s="28">
        <v>17</v>
      </c>
      <c r="G43" s="25">
        <f t="shared" si="0"/>
        <v>38</v>
      </c>
      <c r="H43" s="5">
        <v>25</v>
      </c>
      <c r="I43" s="68">
        <f>45.338+6.142+5</f>
        <v>56.480000000000004</v>
      </c>
      <c r="J43" s="73">
        <v>35</v>
      </c>
    </row>
    <row r="44" spans="1:12" x14ac:dyDescent="0.3">
      <c r="A44" s="59" t="s">
        <v>81</v>
      </c>
      <c r="B44" s="95" t="s">
        <v>34</v>
      </c>
      <c r="C44" s="82">
        <v>149</v>
      </c>
      <c r="D44" s="28">
        <v>105.6</v>
      </c>
      <c r="E44" s="5">
        <v>35.9</v>
      </c>
      <c r="F44" s="28">
        <v>141.5</v>
      </c>
      <c r="G44" s="25">
        <f t="shared" si="0"/>
        <v>7.5</v>
      </c>
      <c r="H44" s="5">
        <f>F44</f>
        <v>141.5</v>
      </c>
      <c r="I44" s="68">
        <v>153.92099999999999</v>
      </c>
      <c r="J44" s="73">
        <v>154.92099999999999</v>
      </c>
    </row>
    <row r="45" spans="1:12" x14ac:dyDescent="0.3">
      <c r="A45" s="59" t="s">
        <v>82</v>
      </c>
      <c r="B45" s="95" t="s">
        <v>56</v>
      </c>
      <c r="C45" s="82">
        <v>20</v>
      </c>
      <c r="D45" s="28">
        <v>25</v>
      </c>
      <c r="E45" s="5">
        <v>4.7</v>
      </c>
      <c r="F45" s="28">
        <v>29.7</v>
      </c>
      <c r="G45" s="25">
        <f t="shared" si="0"/>
        <v>-9.6999999999999993</v>
      </c>
      <c r="H45" s="5">
        <v>30</v>
      </c>
      <c r="I45" s="68">
        <f>5.2+6.67+4.231+5.495+12</f>
        <v>33.596000000000004</v>
      </c>
      <c r="J45" s="73">
        <f>22+15</f>
        <v>37</v>
      </c>
    </row>
    <row r="46" spans="1:12" x14ac:dyDescent="0.3">
      <c r="A46" s="59" t="s">
        <v>83</v>
      </c>
      <c r="B46" s="95" t="s">
        <v>62</v>
      </c>
      <c r="C46" s="82">
        <v>12</v>
      </c>
      <c r="D46" s="5"/>
      <c r="E46" s="28">
        <v>6</v>
      </c>
      <c r="F46" s="28">
        <v>6</v>
      </c>
      <c r="G46" s="25">
        <f t="shared" si="0"/>
        <v>6</v>
      </c>
      <c r="H46" s="5">
        <v>12</v>
      </c>
      <c r="I46" s="68">
        <v>12</v>
      </c>
      <c r="J46" s="73">
        <v>13</v>
      </c>
    </row>
    <row r="47" spans="1:12" x14ac:dyDescent="0.3">
      <c r="A47" s="59" t="s">
        <v>84</v>
      </c>
      <c r="B47" s="91" t="s">
        <v>58</v>
      </c>
      <c r="C47" s="82">
        <v>12</v>
      </c>
      <c r="D47" s="28">
        <v>6.8</v>
      </c>
      <c r="E47" s="28">
        <v>11.4</v>
      </c>
      <c r="F47" s="28">
        <v>21.2</v>
      </c>
      <c r="G47" s="25">
        <f t="shared" si="0"/>
        <v>-9.1999999999999993</v>
      </c>
      <c r="H47" s="5">
        <v>20.5</v>
      </c>
      <c r="I47" s="68">
        <f>7.02+1.38162+4.81+5.227</f>
        <v>18.43862</v>
      </c>
      <c r="J47" s="73">
        <f>7.02+1.38162+4.81+5.227</f>
        <v>18.43862</v>
      </c>
    </row>
    <row r="48" spans="1:12" x14ac:dyDescent="0.3">
      <c r="A48" s="59" t="s">
        <v>85</v>
      </c>
      <c r="B48" s="95" t="s">
        <v>35</v>
      </c>
      <c r="C48" s="82">
        <v>35</v>
      </c>
      <c r="D48" s="5">
        <v>22.2</v>
      </c>
      <c r="E48" s="5">
        <v>7.5</v>
      </c>
      <c r="F48" s="28">
        <v>29.7</v>
      </c>
      <c r="G48" s="25">
        <f t="shared" si="0"/>
        <v>5.3000000000000007</v>
      </c>
      <c r="H48" s="5">
        <f>F48</f>
        <v>29.7</v>
      </c>
      <c r="I48" s="68">
        <v>31.106999999999999</v>
      </c>
      <c r="J48" s="73">
        <v>32.106999999999999</v>
      </c>
    </row>
    <row r="49" spans="1:12" ht="13.5" customHeight="1" x14ac:dyDescent="0.3">
      <c r="A49" s="59" t="s">
        <v>86</v>
      </c>
      <c r="B49" s="95" t="s">
        <v>115</v>
      </c>
      <c r="C49" s="82">
        <v>60</v>
      </c>
      <c r="D49" s="5">
        <v>8.9</v>
      </c>
      <c r="E49" s="5">
        <v>13.7</v>
      </c>
      <c r="F49" s="28">
        <v>22.6</v>
      </c>
      <c r="G49" s="25">
        <f t="shared" si="0"/>
        <v>37.4</v>
      </c>
      <c r="H49" s="5">
        <v>40</v>
      </c>
      <c r="I49" s="68">
        <f>45-12</f>
        <v>33</v>
      </c>
      <c r="J49" s="73">
        <v>30</v>
      </c>
    </row>
    <row r="50" spans="1:12" customFormat="1" ht="14.4" x14ac:dyDescent="0.3">
      <c r="A50" s="59" t="s">
        <v>87</v>
      </c>
      <c r="B50" s="92" t="s">
        <v>36</v>
      </c>
      <c r="C50" s="85">
        <v>70</v>
      </c>
      <c r="D50" s="20">
        <v>20.399999999999999</v>
      </c>
      <c r="E50" s="30">
        <v>45</v>
      </c>
      <c r="F50" s="28">
        <v>65.400000000000006</v>
      </c>
      <c r="G50" s="25">
        <f t="shared" si="0"/>
        <v>4.5999999999999943</v>
      </c>
      <c r="H50" s="5">
        <v>100</v>
      </c>
      <c r="I50" s="69">
        <v>73</v>
      </c>
      <c r="J50" s="76">
        <v>80</v>
      </c>
    </row>
    <row r="51" spans="1:12" customFormat="1" ht="14.4" x14ac:dyDescent="0.3">
      <c r="A51" s="59" t="s">
        <v>88</v>
      </c>
      <c r="B51" s="95" t="s">
        <v>125</v>
      </c>
      <c r="C51" s="85">
        <v>70</v>
      </c>
      <c r="D51" s="20">
        <v>58.2</v>
      </c>
      <c r="E51" s="20" t="e">
        <f>#REF!</f>
        <v>#REF!</v>
      </c>
      <c r="F51" s="28">
        <v>65.55</v>
      </c>
      <c r="G51" s="25">
        <f t="shared" si="0"/>
        <v>4.4500000000000028</v>
      </c>
      <c r="H51" s="5">
        <v>66</v>
      </c>
      <c r="I51" s="69">
        <f>5.5+0.6+7.1+5.999+2.99</f>
        <v>22.189</v>
      </c>
      <c r="J51" s="76">
        <f>22+20</f>
        <v>42</v>
      </c>
    </row>
    <row r="52" spans="1:12" customFormat="1" ht="14.4" x14ac:dyDescent="0.3">
      <c r="A52" s="59" t="s">
        <v>89</v>
      </c>
      <c r="B52" s="95" t="s">
        <v>116</v>
      </c>
      <c r="C52" s="85"/>
      <c r="D52" s="20"/>
      <c r="E52" s="20"/>
      <c r="F52" s="28"/>
      <c r="G52" s="25"/>
      <c r="H52" s="5"/>
      <c r="I52" s="69"/>
      <c r="J52" s="76">
        <v>120</v>
      </c>
    </row>
    <row r="53" spans="1:12" customFormat="1" ht="14.4" x14ac:dyDescent="0.3">
      <c r="A53" s="59" t="s">
        <v>90</v>
      </c>
      <c r="B53" s="96" t="s">
        <v>52</v>
      </c>
      <c r="C53" s="85">
        <v>20</v>
      </c>
      <c r="D53" s="30">
        <v>10.199999999999999</v>
      </c>
      <c r="E53" s="20"/>
      <c r="F53" s="28">
        <v>10.199999999999999</v>
      </c>
      <c r="G53" s="25">
        <f>C53-F53</f>
        <v>9.8000000000000007</v>
      </c>
      <c r="H53" s="5">
        <v>0</v>
      </c>
      <c r="I53" s="69">
        <v>0</v>
      </c>
      <c r="J53" s="77">
        <v>10</v>
      </c>
    </row>
    <row r="54" spans="1:12" customFormat="1" ht="14.4" x14ac:dyDescent="0.3">
      <c r="A54" s="59" t="s">
        <v>91</v>
      </c>
      <c r="B54" s="95" t="s">
        <v>47</v>
      </c>
      <c r="C54" s="85">
        <v>40</v>
      </c>
      <c r="D54" s="30">
        <v>6.5</v>
      </c>
      <c r="E54" s="30">
        <v>36.5</v>
      </c>
      <c r="F54" s="28">
        <v>40</v>
      </c>
      <c r="G54" s="25">
        <f>C54-F54</f>
        <v>0</v>
      </c>
      <c r="H54" s="5">
        <v>40</v>
      </c>
      <c r="I54" s="69">
        <v>40</v>
      </c>
      <c r="J54" s="77">
        <v>40</v>
      </c>
    </row>
    <row r="55" spans="1:12" customFormat="1" ht="14.4" x14ac:dyDescent="0.3">
      <c r="A55" s="59" t="s">
        <v>92</v>
      </c>
      <c r="B55" s="95" t="s">
        <v>123</v>
      </c>
      <c r="C55" s="86"/>
      <c r="D55" s="31"/>
      <c r="E55" s="20"/>
      <c r="F55" s="28">
        <v>0</v>
      </c>
      <c r="G55" s="25">
        <f>C55-F55</f>
        <v>0</v>
      </c>
      <c r="H55" s="5">
        <f>5+40</f>
        <v>45</v>
      </c>
      <c r="I55" s="69">
        <f>3.7+4.2</f>
        <v>7.9</v>
      </c>
      <c r="J55" s="77">
        <f>3.7+4.2</f>
        <v>7.9</v>
      </c>
    </row>
    <row r="56" spans="1:12" x14ac:dyDescent="0.3">
      <c r="A56" s="59" t="s">
        <v>93</v>
      </c>
      <c r="B56" s="95" t="s">
        <v>114</v>
      </c>
      <c r="C56" s="82">
        <v>25</v>
      </c>
      <c r="D56" s="32">
        <v>0</v>
      </c>
      <c r="E56" s="28">
        <v>10.7</v>
      </c>
      <c r="F56" s="28">
        <v>10.7</v>
      </c>
      <c r="G56" s="25">
        <f>C56-F56</f>
        <v>14.3</v>
      </c>
      <c r="H56" s="5">
        <f>F56</f>
        <v>10.7</v>
      </c>
      <c r="I56" s="68">
        <v>20</v>
      </c>
      <c r="J56" s="73">
        <v>20</v>
      </c>
      <c r="L56" s="38"/>
    </row>
    <row r="57" spans="1:12" customFormat="1" ht="15.6" x14ac:dyDescent="0.3">
      <c r="A57" s="58" t="s">
        <v>38</v>
      </c>
      <c r="B57" s="97" t="s">
        <v>39</v>
      </c>
      <c r="C57" s="85"/>
      <c r="D57" s="20"/>
      <c r="E57" s="20"/>
      <c r="F57" s="30"/>
      <c r="G57" s="25"/>
      <c r="H57" s="20"/>
      <c r="I57" s="69"/>
      <c r="J57" s="76"/>
    </row>
    <row r="58" spans="1:12" ht="14.4" thickBot="1" x14ac:dyDescent="0.35">
      <c r="A58" s="60"/>
      <c r="B58" s="98" t="s">
        <v>40</v>
      </c>
      <c r="C58" s="87">
        <v>-84.276960000000145</v>
      </c>
      <c r="D58" s="61">
        <v>280.7</v>
      </c>
      <c r="E58" s="61">
        <v>-251</v>
      </c>
      <c r="F58" s="62">
        <f>F3-F18</f>
        <v>24.850000000000364</v>
      </c>
      <c r="G58" s="61"/>
      <c r="H58" s="62">
        <f t="shared" ref="H58" si="2">H3-H18</f>
        <v>0.25171199999931559</v>
      </c>
      <c r="I58" s="70">
        <f>I3-I18</f>
        <v>129.24804869999934</v>
      </c>
      <c r="J58" s="78">
        <f>J3-J18</f>
        <v>-195.17441255199992</v>
      </c>
    </row>
    <row r="59" spans="1:12" ht="14.4" thickBot="1" x14ac:dyDescent="0.35">
      <c r="F59" s="21"/>
      <c r="G59" s="22"/>
      <c r="I59" s="38"/>
    </row>
    <row r="60" spans="1:12" x14ac:dyDescent="0.3">
      <c r="B60" s="42" t="s">
        <v>124</v>
      </c>
      <c r="C60" s="43"/>
      <c r="D60" s="43"/>
      <c r="E60" s="43"/>
      <c r="F60" s="44"/>
      <c r="G60" s="45"/>
      <c r="H60" s="43"/>
      <c r="I60" s="46">
        <v>97.614000000000004</v>
      </c>
    </row>
    <row r="61" spans="1:12" ht="14.4" thickBot="1" x14ac:dyDescent="0.35">
      <c r="B61" s="47" t="s">
        <v>117</v>
      </c>
      <c r="C61" s="48"/>
      <c r="D61" s="48"/>
      <c r="E61" s="48"/>
      <c r="F61" s="49"/>
      <c r="G61" s="48"/>
      <c r="H61" s="48"/>
      <c r="I61" s="50"/>
    </row>
    <row r="62" spans="1:12" x14ac:dyDescent="0.3">
      <c r="F62" s="21"/>
    </row>
    <row r="63" spans="1:12" x14ac:dyDescent="0.3">
      <c r="E63" s="1">
        <v>0</v>
      </c>
    </row>
  </sheetData>
  <mergeCells count="2">
    <mergeCell ref="B1:C1"/>
    <mergeCell ref="I1:J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2019-2021</vt:lpstr>
      <vt:lpstr>2020-2021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2021-02-10T04:44:21Z</dcterms:modified>
</cp:coreProperties>
</file>