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3"/>
  </bookViews>
  <sheets>
    <sheet name="ДДС 2016 осн счет" sheetId="1" r:id="rId1"/>
    <sheet name="ДДС общий" sheetId="2" state="hidden" r:id="rId2"/>
    <sheet name="Кап. ремонт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<sst xmlns="http://schemas.openxmlformats.org/spreadsheetml/2006/main" count="195" uniqueCount="134">
  <si>
    <t>Единица измерения: руб.</t>
  </si>
  <si>
    <t>ИТОГО за год</t>
  </si>
  <si>
    <t>ДОХОДЫ</t>
  </si>
  <si>
    <t>РАСХОДЫ</t>
  </si>
  <si>
    <t>Заработная плата</t>
  </si>
  <si>
    <t>Налоги всего</t>
  </si>
  <si>
    <t>НДФЛ</t>
  </si>
  <si>
    <t xml:space="preserve"> </t>
  </si>
  <si>
    <t>1 квартал</t>
  </si>
  <si>
    <t>2 квартал</t>
  </si>
  <si>
    <t>3 квартал</t>
  </si>
  <si>
    <t xml:space="preserve">4 квартал </t>
  </si>
  <si>
    <t>Оплата поставщикам, в т.ч.</t>
  </si>
  <si>
    <t>ДОХОДЫ-РАСХОДЫ</t>
  </si>
  <si>
    <t>НАРАСТАЮЩИМ ИТОГОМ</t>
  </si>
  <si>
    <t>Остаток на начало</t>
  </si>
  <si>
    <t xml:space="preserve">     ЗАО "Центр информационной безопасности" Электронная отчетность</t>
  </si>
  <si>
    <t xml:space="preserve">               ИП Егорова Е.С.</t>
  </si>
  <si>
    <t>Поступления, в т.ч.</t>
  </si>
  <si>
    <t xml:space="preserve">       от жильцов</t>
  </si>
  <si>
    <t xml:space="preserve">       от юридических лиц, в т.ч.</t>
  </si>
  <si>
    <t>УСН</t>
  </si>
  <si>
    <t xml:space="preserve">    Романовский Д.В. Договор подряда от 17.10.2011г. Штукатурно-малярные работы </t>
  </si>
  <si>
    <t xml:space="preserve">    Хозяйкин Б.Г. Договор подряда от 26.12.2011г. Уборка снега и льда</t>
  </si>
  <si>
    <t xml:space="preserve">    Чучкалов А.А. Договор подряда от 10.10.2011г. Ремонт крыши</t>
  </si>
  <si>
    <t xml:space="preserve">    Кудряшов Р.В. Договор подряда от 23.01.2012г. Штукатурно-малярные работы</t>
  </si>
  <si>
    <t xml:space="preserve">    Полозова Т.А. Договор возмездного оказания услуг от 19.12.2011г. </t>
  </si>
  <si>
    <t xml:space="preserve">    Бухвалов С.А. Договор подряда от 20.02.2012г. Обслуживание узла учета тепла</t>
  </si>
  <si>
    <t>Страховые взносы с ФОТ</t>
  </si>
  <si>
    <t xml:space="preserve">     ЗАО "1Гб.ру" Хостинг</t>
  </si>
  <si>
    <t xml:space="preserve">     ОАО "МТС" Мобильная связь</t>
  </si>
  <si>
    <t xml:space="preserve">    ОАО "Новосибирскэнергосбыт" Договор №С-508 от 21.07.09г. Электричество</t>
  </si>
  <si>
    <t xml:space="preserve">    МУП г.Новосибирска "Горводоканал" Вода и стоки</t>
  </si>
  <si>
    <t xml:space="preserve">    ЗАО "Элинда" ТАКП</t>
  </si>
  <si>
    <t xml:space="preserve">               ЗАО "Эр-Телеком Холдинг"</t>
  </si>
  <si>
    <t xml:space="preserve">               ЗАО "Элинда"</t>
  </si>
  <si>
    <t xml:space="preserve">               ОАО НФ "Ростелеком"</t>
  </si>
  <si>
    <t xml:space="preserve">     ООО "ЭНЕРГО-Сервис" Тех.обслуживание узла учета тепла</t>
  </si>
  <si>
    <t xml:space="preserve">    Приобретено за наличный расчет / Возврат подотчетных средств</t>
  </si>
  <si>
    <t xml:space="preserve">     ОАО Сибирский Банк Сбербанка России / Услуги банка</t>
  </si>
  <si>
    <t xml:space="preserve">               ОАО "Мобильные ТелеСистемы"</t>
  </si>
  <si>
    <t xml:space="preserve">    ООО "Домофония" Ремонт ворот</t>
  </si>
  <si>
    <t xml:space="preserve">     НП "ОРС" Информационно-технологическое обслуживание</t>
  </si>
  <si>
    <t xml:space="preserve">               ООО "Фортуна"</t>
  </si>
  <si>
    <t xml:space="preserve">    ООО "ПЭЛК-Сервис" Тех.обслуживание лифтов</t>
  </si>
  <si>
    <t xml:space="preserve">     ООО "Системы мониторинга" Приобретение оборудования для видеонаблюдения</t>
  </si>
  <si>
    <t xml:space="preserve">     ООО "ЭНЕРГО-Сервис" Проверка приборов учета тепловой энергии</t>
  </si>
  <si>
    <t xml:space="preserve">     ООО "Компас" Изготовление табличек</t>
  </si>
  <si>
    <t xml:space="preserve">               ИП Цимбрилла В.В.</t>
  </si>
  <si>
    <t xml:space="preserve">               ООО "Сибирский сети"</t>
  </si>
  <si>
    <t xml:space="preserve">     ЗАО "СофтЛайнТрейд" Приобретение программного комплекса CSP VPN Client</t>
  </si>
  <si>
    <t xml:space="preserve">    ООО "Сибирская экспертная компания" Техническое освидетельствование лифтов</t>
  </si>
  <si>
    <t>Движение денежных средств ТСЖ "Кропоткина 261" за  12 месяцев 2015 года</t>
  </si>
  <si>
    <t xml:space="preserve">       пени за жилищно-коммунальные услуги, проценты</t>
  </si>
  <si>
    <t xml:space="preserve">               Новотелеком</t>
  </si>
  <si>
    <t>возмещение за брелки</t>
  </si>
  <si>
    <t xml:space="preserve">    ГласСервис</t>
  </si>
  <si>
    <t xml:space="preserve">    Гудвин доплата за 2014г ремонт тамбуров в 4 подъездах</t>
  </si>
  <si>
    <t>Ит Комплект, картриджы, бумага</t>
  </si>
  <si>
    <t>РКО Банк</t>
  </si>
  <si>
    <t xml:space="preserve">    ООО Гудвин, ремонт выводов</t>
  </si>
  <si>
    <t xml:space="preserve">    ООО Гудвин, ремонт  крыши 2 подъезда, частичный</t>
  </si>
  <si>
    <t>Суд, экспертиза, нов.экспертная компания</t>
  </si>
  <si>
    <t xml:space="preserve">     Открытые технологии,ООО Внедренчесикй центр "ИНФО-СОФТ" / 1С</t>
  </si>
  <si>
    <t xml:space="preserve">     ООО "СУЦ НОУ ДПО" Обучение тепловые электроустановки, противопожарной безопасности</t>
  </si>
  <si>
    <t>Песок и доставка для детской площадки</t>
  </si>
  <si>
    <t xml:space="preserve">    МУП г.Новосибирска "Спецавтохозяйство", СКС, Эколайн-вывоз мусора</t>
  </si>
  <si>
    <t xml:space="preserve">    ООО "Альпсервис", ремонт кровли 3 подъезда</t>
  </si>
  <si>
    <t xml:space="preserve">    ООО "Атлант-бетон", блоки и доставка</t>
  </si>
  <si>
    <t xml:space="preserve">    ООО "Домофония" Шлагбаум и его установка</t>
  </si>
  <si>
    <t xml:space="preserve">    ООО "Домофония" видиокамера и ее установка</t>
  </si>
  <si>
    <t xml:space="preserve">    ИП Горбачев, ремонт швов</t>
  </si>
  <si>
    <t>Промсиройпроект, восстановление проектной документации дома</t>
  </si>
  <si>
    <t xml:space="preserve">    ООО "Гидролика", ООО "Сервис", промывка, опрессовка отопления</t>
  </si>
  <si>
    <t>Сибирские энергосберегающие технологии, светодиодные светильники, краны пожарные</t>
  </si>
  <si>
    <t xml:space="preserve">     Ильиных, перила в 1 подъезде</t>
  </si>
  <si>
    <t xml:space="preserve">    ООО "Оборонкомплекс", материалы на ворот, Зюльков, сварка ворот</t>
  </si>
  <si>
    <t xml:space="preserve">    ООО"Форвард", оемонт 11 этажей ,2,3 подъезда и прочистки лив трубы 3 подъезда</t>
  </si>
  <si>
    <t xml:space="preserve">     ИП Милишников Г.Г. Настройка и ремонт ПО  видионаблюдения</t>
  </si>
  <si>
    <t xml:space="preserve">    ИНКОМВЭЙ,СТИМ, Ареал-С, уборка и отвал снега</t>
  </si>
  <si>
    <t xml:space="preserve">    Кудрин, ремонт лифтовых кабин</t>
  </si>
  <si>
    <t xml:space="preserve">     Высота М-2,  Башкин,чистка крыши  и козырьков от снега</t>
  </si>
  <si>
    <t xml:space="preserve">    ООО "Домофония" брелки</t>
  </si>
  <si>
    <t xml:space="preserve">ДОСТ </t>
  </si>
  <si>
    <t>ИП Дзюба, туалет</t>
  </si>
  <si>
    <t>Вознагрождение</t>
  </si>
  <si>
    <t xml:space="preserve">    Аварийно-диспетчерская служба </t>
  </si>
  <si>
    <t xml:space="preserve">    Вывоз  мусора</t>
  </si>
  <si>
    <t xml:space="preserve">    Уборка и отвал снега</t>
  </si>
  <si>
    <t xml:space="preserve">    ЗАО "Элинда" , обслуживание антенны</t>
  </si>
  <si>
    <t xml:space="preserve">    Ремонт швов  (по заявкам жителей)</t>
  </si>
  <si>
    <t xml:space="preserve">    Светодиодные светильники, краны пожарные</t>
  </si>
  <si>
    <t xml:space="preserve">     РКО (услуги банка)</t>
  </si>
  <si>
    <t xml:space="preserve">     ЗАО "1Гб.ру" Хостинг, сайт ТСЖ</t>
  </si>
  <si>
    <t>расчетный счет по кап. ремонту</t>
  </si>
  <si>
    <t>Остаток денежных средств на конец периода</t>
  </si>
  <si>
    <t>Страховые взносы</t>
  </si>
  <si>
    <t>основной расчетный счет, в руб.</t>
  </si>
  <si>
    <t xml:space="preserve">    ОАО "Новосибирскэнергосбыт" ,электричество</t>
  </si>
  <si>
    <t>ДОХОДЫ, поступления, в т.ч.</t>
  </si>
  <si>
    <t>возмещение за брелки от юр.лиц и жильцов</t>
  </si>
  <si>
    <t xml:space="preserve">     Обучение тепловые электроустановки, противопожарной безопасн.</t>
  </si>
  <si>
    <t xml:space="preserve">     Суд, экспертиза,адвокат ,возмещение по иску кв.134</t>
  </si>
  <si>
    <t>проценты  банка</t>
  </si>
  <si>
    <t>4 квартал</t>
  </si>
  <si>
    <t xml:space="preserve">    Техническое освидетельствование лифтов, страхование лифтов</t>
  </si>
  <si>
    <t xml:space="preserve">   Компенсация за использование л/а</t>
  </si>
  <si>
    <t xml:space="preserve">    ООО "Домофония" БРЕЛКИ</t>
  </si>
  <si>
    <t xml:space="preserve">              ООО "Камея"</t>
  </si>
  <si>
    <t xml:space="preserve">     Ремонт  крыши </t>
  </si>
  <si>
    <t>Ремонт снегоуборочной машины</t>
  </si>
  <si>
    <t>Подключение видеонаблюдения</t>
  </si>
  <si>
    <t>Измерение сети электрооборудования</t>
  </si>
  <si>
    <t>Движение денежных средств ТСЖ "Кропоткина 261" за  12 месяцев 2016 года</t>
  </si>
  <si>
    <t>Штрафы, пени в ПФ и ФСС</t>
  </si>
  <si>
    <t>Лестница к Кропоткинскому Универмагу и перила</t>
  </si>
  <si>
    <t xml:space="preserve">     Вознаграждение членам правления </t>
  </si>
  <si>
    <t>Перила  4-х подъездов, защита у мусорных баков</t>
  </si>
  <si>
    <t>справочно подотчет</t>
  </si>
  <si>
    <t xml:space="preserve">Почтовые расходы и бланки </t>
  </si>
  <si>
    <t>Электрика,хоз товары, бензин для снегоуб. машины, материалы по обслуживанию здания</t>
  </si>
  <si>
    <t xml:space="preserve">    Тех.обслуживание лифтов</t>
  </si>
  <si>
    <t xml:space="preserve">    Прочистка канализации</t>
  </si>
  <si>
    <t>Госпошлина на исковому заявлению</t>
  </si>
  <si>
    <t xml:space="preserve">     Картриджы, канц.товары, наклейки, обучение</t>
  </si>
  <si>
    <t xml:space="preserve">     Электрон.отчетность,обслуживание 1С, хостинг, сайт</t>
  </si>
  <si>
    <t xml:space="preserve">   Замены водосчетчика, краны к подготовке системы отопления дома, в подвале 4 подъезда работы</t>
  </si>
  <si>
    <t xml:space="preserve">    Ремонт  автоматики ворот, шлагбаума</t>
  </si>
  <si>
    <t xml:space="preserve">   Ремонт 1-го и 2-го подъездов</t>
  </si>
  <si>
    <t>Движение денежных средств ТСЖ "Кропоткина 261" 2016 год</t>
  </si>
  <si>
    <t>Поступило нп р/счет кап. ремонта</t>
  </si>
  <si>
    <t xml:space="preserve">Начислено на кап. ремонт </t>
  </si>
  <si>
    <t>Остаток на 31.12.16</t>
  </si>
  <si>
    <t>Остаток на 01.01.16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</si>
</sst>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sz val="9"/>
      <name val="Arial Cyr"/>
      <family val="0"/>
    </font>
    <font>
      <i/>
      <sz val="9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4" fontId="0" fillId="0" borderId="0" xfId="0" applyNumberForma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2" xfId="0" applyFont="1" applyFill="1" applyBorder="1" applyAlignment="1">
      <alignment/>
    </xf>
    <xf numFmtId="0" fontId="2" fillId="0" borderId="0" xfId="0" applyFont="1" applyAlignment="1">
      <alignment/>
    </xf>
    <xf numFmtId="4" fontId="1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9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/>
    </xf>
    <xf numFmtId="0" fontId="5" fillId="0" borderId="18" xfId="0" applyFont="1" applyBorder="1" applyAlignment="1">
      <alignment/>
    </xf>
    <xf numFmtId="17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center" vertical="center"/>
    </xf>
    <xf numFmtId="4" fontId="10" fillId="0" borderId="0" xfId="0" applyNumberFormat="1" applyFont="1" applyFill="1" applyBorder="1" applyAlignment="1">
      <alignment/>
    </xf>
    <xf numFmtId="0" fontId="9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4" fontId="9" fillId="0" borderId="15" xfId="0" applyNumberFormat="1" applyFont="1" applyBorder="1" applyAlignment="1">
      <alignment horizontal="right" vertical="center"/>
    </xf>
    <xf numFmtId="188" fontId="1" fillId="2" borderId="12" xfId="0" applyNumberFormat="1" applyFont="1" applyFill="1" applyBorder="1" applyAlignment="1">
      <alignment horizontal="right" vertical="center"/>
    </xf>
    <xf numFmtId="188" fontId="1" fillId="2" borderId="21" xfId="0" applyNumberFormat="1" applyFont="1" applyFill="1" applyBorder="1" applyAlignment="1">
      <alignment horizontal="right" vertical="center"/>
    </xf>
    <xf numFmtId="188" fontId="9" fillId="2" borderId="12" xfId="0" applyNumberFormat="1" applyFont="1" applyFill="1" applyBorder="1" applyAlignment="1">
      <alignment horizontal="right" vertical="center"/>
    </xf>
    <xf numFmtId="188" fontId="9" fillId="2" borderId="21" xfId="0" applyNumberFormat="1" applyFont="1" applyFill="1" applyBorder="1" applyAlignment="1">
      <alignment horizontal="right" vertical="center"/>
    </xf>
    <xf numFmtId="4" fontId="9" fillId="2" borderId="14" xfId="0" applyNumberFormat="1" applyFont="1" applyFill="1" applyBorder="1" applyAlignment="1">
      <alignment horizontal="right" vertical="center"/>
    </xf>
    <xf numFmtId="4" fontId="9" fillId="0" borderId="15" xfId="0" applyNumberFormat="1" applyFont="1" applyFill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188" fontId="1" fillId="0" borderId="12" xfId="0" applyNumberFormat="1" applyFont="1" applyBorder="1" applyAlignment="1">
      <alignment horizontal="right" vertical="center"/>
    </xf>
    <xf numFmtId="188" fontId="0" fillId="0" borderId="12" xfId="0" applyNumberFormat="1" applyFont="1" applyBorder="1" applyAlignment="1">
      <alignment horizontal="right" vertical="center"/>
    </xf>
    <xf numFmtId="188" fontId="0" fillId="0" borderId="12" xfId="0" applyNumberFormat="1" applyFont="1" applyFill="1" applyBorder="1" applyAlignment="1">
      <alignment horizontal="right" vertical="center"/>
    </xf>
    <xf numFmtId="188" fontId="13" fillId="0" borderId="12" xfId="0" applyNumberFormat="1" applyFont="1" applyBorder="1" applyAlignment="1">
      <alignment vertical="center"/>
    </xf>
    <xf numFmtId="188" fontId="13" fillId="0" borderId="12" xfId="0" applyNumberFormat="1" applyFont="1" applyBorder="1" applyAlignment="1">
      <alignment horizontal="right" vertical="center"/>
    </xf>
    <xf numFmtId="188" fontId="13" fillId="0" borderId="12" xfId="0" applyNumberFormat="1" applyFont="1" applyFill="1" applyBorder="1" applyAlignment="1">
      <alignment horizontal="right" vertical="center"/>
    </xf>
    <xf numFmtId="188" fontId="13" fillId="0" borderId="12" xfId="0" applyNumberFormat="1" applyFont="1" applyBorder="1" applyAlignment="1">
      <alignment/>
    </xf>
    <xf numFmtId="188" fontId="13" fillId="0" borderId="12" xfId="0" applyNumberFormat="1" applyFont="1" applyBorder="1" applyAlignment="1">
      <alignment horizontal="right"/>
    </xf>
    <xf numFmtId="188" fontId="13" fillId="0" borderId="12" xfId="0" applyNumberFormat="1" applyFont="1" applyFill="1" applyBorder="1" applyAlignment="1">
      <alignment horizontal="right"/>
    </xf>
    <xf numFmtId="4" fontId="9" fillId="0" borderId="12" xfId="0" applyNumberFormat="1" applyFont="1" applyFill="1" applyBorder="1" applyAlignment="1">
      <alignment horizontal="right"/>
    </xf>
    <xf numFmtId="4" fontId="9" fillId="33" borderId="12" xfId="0" applyNumberFormat="1" applyFont="1" applyFill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33" borderId="12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33" borderId="13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4" fontId="0" fillId="33" borderId="14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5" xfId="0" applyNumberFormat="1" applyFont="1" applyFill="1" applyBorder="1" applyAlignment="1">
      <alignment horizontal="right"/>
    </xf>
    <xf numFmtId="4" fontId="0" fillId="33" borderId="17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4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0" borderId="2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Border="1" applyAlignment="1">
      <alignment/>
    </xf>
    <xf numFmtId="0" fontId="13" fillId="33" borderId="26" xfId="0" applyFont="1" applyFill="1" applyBorder="1" applyAlignment="1">
      <alignment/>
    </xf>
    <xf numFmtId="0" fontId="5" fillId="0" borderId="27" xfId="0" applyFont="1" applyBorder="1" applyAlignment="1">
      <alignment/>
    </xf>
    <xf numFmtId="4" fontId="0" fillId="33" borderId="27" xfId="0" applyNumberFormat="1" applyFont="1" applyFill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0" fontId="9" fillId="6" borderId="24" xfId="0" applyFont="1" applyFill="1" applyBorder="1" applyAlignment="1">
      <alignment/>
    </xf>
    <xf numFmtId="0" fontId="5" fillId="6" borderId="13" xfId="0" applyFont="1" applyFill="1" applyBorder="1" applyAlignment="1">
      <alignment/>
    </xf>
    <xf numFmtId="4" fontId="1" fillId="6" borderId="13" xfId="0" applyNumberFormat="1" applyFont="1" applyFill="1" applyBorder="1" applyAlignment="1">
      <alignment horizontal="right"/>
    </xf>
    <xf numFmtId="0" fontId="9" fillId="6" borderId="26" xfId="0" applyFont="1" applyFill="1" applyBorder="1" applyAlignment="1">
      <alignment/>
    </xf>
    <xf numFmtId="0" fontId="8" fillId="6" borderId="17" xfId="0" applyFont="1" applyFill="1" applyBorder="1" applyAlignment="1">
      <alignment/>
    </xf>
    <xf numFmtId="4" fontId="9" fillId="6" borderId="17" xfId="0" applyNumberFormat="1" applyFont="1" applyFill="1" applyBorder="1" applyAlignment="1">
      <alignment horizontal="right"/>
    </xf>
    <xf numFmtId="0" fontId="13" fillId="0" borderId="2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13" fillId="33" borderId="2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88" fontId="0" fillId="0" borderId="12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0" fontId="13" fillId="0" borderId="11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16" xfId="0" applyBorder="1" applyAlignment="1">
      <alignment/>
    </xf>
    <xf numFmtId="0" fontId="3" fillId="33" borderId="14" xfId="0" applyFont="1" applyFill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188" fontId="11" fillId="0" borderId="12" xfId="0" applyNumberFormat="1" applyFont="1" applyBorder="1" applyAlignment="1">
      <alignment horizontal="right" vertical="center"/>
    </xf>
    <xf numFmtId="188" fontId="11" fillId="0" borderId="12" xfId="0" applyNumberFormat="1" applyFont="1" applyFill="1" applyBorder="1" applyAlignment="1">
      <alignment horizontal="right" vertical="center"/>
    </xf>
    <xf numFmtId="188" fontId="15" fillId="0" borderId="21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/>
    </xf>
    <xf numFmtId="188" fontId="14" fillId="0" borderId="12" xfId="0" applyNumberFormat="1" applyFont="1" applyBorder="1" applyAlignment="1">
      <alignment vertical="center"/>
    </xf>
    <xf numFmtId="188" fontId="14" fillId="0" borderId="12" xfId="0" applyNumberFormat="1" applyFont="1" applyBorder="1" applyAlignment="1">
      <alignment horizontal="right" vertical="center"/>
    </xf>
    <xf numFmtId="188" fontId="14" fillId="0" borderId="12" xfId="0" applyNumberFormat="1" applyFont="1" applyFill="1" applyBorder="1" applyAlignment="1">
      <alignment horizontal="right" vertical="center"/>
    </xf>
    <xf numFmtId="0" fontId="14" fillId="0" borderId="11" xfId="0" applyFont="1" applyBorder="1" applyAlignment="1">
      <alignment horizontal="left"/>
    </xf>
    <xf numFmtId="188" fontId="14" fillId="0" borderId="12" xfId="0" applyNumberFormat="1" applyFont="1" applyBorder="1" applyAlignment="1">
      <alignment/>
    </xf>
    <xf numFmtId="188" fontId="14" fillId="0" borderId="12" xfId="0" applyNumberFormat="1" applyFont="1" applyBorder="1" applyAlignment="1">
      <alignment horizontal="right"/>
    </xf>
    <xf numFmtId="188" fontId="14" fillId="0" borderId="12" xfId="0" applyNumberFormat="1" applyFont="1" applyFill="1" applyBorder="1" applyAlignment="1">
      <alignment horizontal="right"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4" fontId="10" fillId="33" borderId="12" xfId="0" applyNumberFormat="1" applyFont="1" applyFill="1" applyBorder="1" applyAlignment="1">
      <alignment horizontal="right"/>
    </xf>
    <xf numFmtId="188" fontId="10" fillId="33" borderId="21" xfId="0" applyNumberFormat="1" applyFont="1" applyFill="1" applyBorder="1" applyAlignment="1">
      <alignment horizontal="right" vertical="center"/>
    </xf>
    <xf numFmtId="0" fontId="14" fillId="33" borderId="11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4" fontId="11" fillId="33" borderId="12" xfId="0" applyNumberFormat="1" applyFont="1" applyFill="1" applyBorder="1" applyAlignment="1">
      <alignment horizontal="right"/>
    </xf>
    <xf numFmtId="0" fontId="10" fillId="33" borderId="24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4" fontId="15" fillId="33" borderId="13" xfId="0" applyNumberFormat="1" applyFont="1" applyFill="1" applyBorder="1" applyAlignment="1">
      <alignment horizontal="right"/>
    </xf>
    <xf numFmtId="0" fontId="14" fillId="33" borderId="2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4" fontId="11" fillId="33" borderId="17" xfId="0" applyNumberFormat="1" applyFont="1" applyFill="1" applyBorder="1" applyAlignment="1">
      <alignment horizontal="right"/>
    </xf>
    <xf numFmtId="0" fontId="14" fillId="33" borderId="24" xfId="0" applyFont="1" applyFill="1" applyBorder="1" applyAlignment="1">
      <alignment/>
    </xf>
    <xf numFmtId="4" fontId="11" fillId="33" borderId="13" xfId="0" applyNumberFormat="1" applyFont="1" applyFill="1" applyBorder="1" applyAlignment="1">
      <alignment horizontal="right"/>
    </xf>
    <xf numFmtId="0" fontId="14" fillId="33" borderId="23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13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49" fontId="15" fillId="0" borderId="14" xfId="0" applyNumberFormat="1" applyFont="1" applyBorder="1" applyAlignment="1">
      <alignment horizontal="center" wrapText="1"/>
    </xf>
    <xf numFmtId="17" fontId="15" fillId="0" borderId="1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188" fontId="10" fillId="2" borderId="12" xfId="0" applyNumberFormat="1" applyFont="1" applyFill="1" applyBorder="1" applyAlignment="1">
      <alignment horizontal="right" vertical="center"/>
    </xf>
    <xf numFmtId="188" fontId="15" fillId="2" borderId="12" xfId="0" applyNumberFormat="1" applyFont="1" applyFill="1" applyBorder="1" applyAlignment="1">
      <alignment horizontal="right" vertical="center"/>
    </xf>
    <xf numFmtId="188" fontId="15" fillId="2" borderId="21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188" fontId="15" fillId="0" borderId="12" xfId="0" applyNumberFormat="1" applyFont="1" applyBorder="1" applyAlignment="1">
      <alignment horizontal="right" vertical="center"/>
    </xf>
    <xf numFmtId="0" fontId="10" fillId="2" borderId="12" xfId="0" applyFont="1" applyFill="1" applyBorder="1" applyAlignment="1">
      <alignment horizontal="left"/>
    </xf>
    <xf numFmtId="0" fontId="14" fillId="33" borderId="26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/>
    </xf>
    <xf numFmtId="4" fontId="10" fillId="33" borderId="14" xfId="0" applyNumberFormat="1" applyFont="1" applyFill="1" applyBorder="1" applyAlignment="1">
      <alignment horizontal="right" vertical="center"/>
    </xf>
    <xf numFmtId="0" fontId="10" fillId="33" borderId="20" xfId="0" applyFont="1" applyFill="1" applyBorder="1" applyAlignment="1">
      <alignment horizontal="center" vertical="center"/>
    </xf>
    <xf numFmtId="4" fontId="10" fillId="33" borderId="15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188" fontId="14" fillId="33" borderId="12" xfId="0" applyNumberFormat="1" applyFont="1" applyFill="1" applyBorder="1" applyAlignment="1">
      <alignment horizontal="right" vertical="center"/>
    </xf>
    <xf numFmtId="17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88" fontId="3" fillId="2" borderId="12" xfId="0" applyNumberFormat="1" applyFont="1" applyFill="1" applyBorder="1" applyAlignment="1">
      <alignment horizontal="right" vertical="center"/>
    </xf>
    <xf numFmtId="188" fontId="4" fillId="2" borderId="12" xfId="0" applyNumberFormat="1" applyFont="1" applyFill="1" applyBorder="1" applyAlignment="1">
      <alignment horizontal="right" vertical="center"/>
    </xf>
    <xf numFmtId="188" fontId="4" fillId="2" borderId="21" xfId="0" applyNumberFormat="1" applyFont="1" applyFill="1" applyBorder="1" applyAlignment="1">
      <alignment horizontal="right" vertical="center"/>
    </xf>
    <xf numFmtId="188" fontId="4" fillId="0" borderId="12" xfId="0" applyNumberFormat="1" applyFont="1" applyBorder="1" applyAlignment="1">
      <alignment horizontal="right" vertical="center"/>
    </xf>
    <xf numFmtId="188" fontId="2" fillId="0" borderId="12" xfId="0" applyNumberFormat="1" applyFont="1" applyBorder="1" applyAlignment="1">
      <alignment horizontal="right" vertical="center"/>
    </xf>
    <xf numFmtId="188" fontId="2" fillId="0" borderId="12" xfId="0" applyNumberFormat="1" applyFont="1" applyFill="1" applyBorder="1" applyAlignment="1">
      <alignment horizontal="right" vertical="center"/>
    </xf>
    <xf numFmtId="188" fontId="4" fillId="0" borderId="2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right" vertical="center"/>
    </xf>
    <xf numFmtId="188" fontId="3" fillId="33" borderId="21" xfId="0" applyNumberFormat="1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right" vertical="center"/>
    </xf>
    <xf numFmtId="4" fontId="3" fillId="33" borderId="28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4" fontId="11" fillId="33" borderId="29" xfId="0" applyNumberFormat="1" applyFont="1" applyFill="1" applyBorder="1" applyAlignment="1">
      <alignment horizontal="right"/>
    </xf>
    <xf numFmtId="4" fontId="11" fillId="33" borderId="0" xfId="0" applyNumberFormat="1" applyFont="1" applyFill="1" applyBorder="1" applyAlignment="1">
      <alignment horizontal="right"/>
    </xf>
    <xf numFmtId="188" fontId="3" fillId="2" borderId="2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4" fillId="0" borderId="30" xfId="0" applyFont="1" applyBorder="1" applyAlignment="1">
      <alignment horizontal="center" vertical="center"/>
    </xf>
    <xf numFmtId="188" fontId="4" fillId="2" borderId="31" xfId="0" applyNumberFormat="1" applyFont="1" applyFill="1" applyBorder="1" applyAlignment="1">
      <alignment horizontal="right" vertical="center"/>
    </xf>
    <xf numFmtId="188" fontId="4" fillId="0" borderId="31" xfId="0" applyNumberFormat="1" applyFont="1" applyBorder="1" applyAlignment="1">
      <alignment horizontal="right" vertical="center"/>
    </xf>
    <xf numFmtId="188" fontId="2" fillId="0" borderId="31" xfId="0" applyNumberFormat="1" applyFont="1" applyBorder="1" applyAlignment="1">
      <alignment horizontal="right" vertical="center"/>
    </xf>
    <xf numFmtId="188" fontId="3" fillId="2" borderId="31" xfId="0" applyNumberFormat="1" applyFont="1" applyFill="1" applyBorder="1" applyAlignment="1">
      <alignment horizontal="right" vertical="center"/>
    </xf>
    <xf numFmtId="4" fontId="3" fillId="33" borderId="32" xfId="0" applyNumberFormat="1" applyFont="1" applyFill="1" applyBorder="1" applyAlignment="1">
      <alignment horizontal="right" vertical="center"/>
    </xf>
    <xf numFmtId="4" fontId="3" fillId="33" borderId="33" xfId="0" applyNumberFormat="1" applyFont="1" applyFill="1" applyBorder="1" applyAlignment="1">
      <alignment horizontal="right" vertical="center"/>
    </xf>
    <xf numFmtId="188" fontId="3" fillId="33" borderId="31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4" fontId="10" fillId="0" borderId="28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9">
      <selection activeCell="C72" sqref="C72"/>
    </sheetView>
  </sheetViews>
  <sheetFormatPr defaultColWidth="9.140625" defaultRowHeight="12.75"/>
  <cols>
    <col min="1" max="1" width="45.140625" style="0" customWidth="1"/>
    <col min="2" max="2" width="9.421875" style="0" hidden="1" customWidth="1"/>
    <col min="3" max="3" width="10.140625" style="0" bestFit="1" customWidth="1"/>
    <col min="4" max="5" width="11.28125" style="0" customWidth="1"/>
    <col min="6" max="7" width="11.421875" style="0" bestFit="1" customWidth="1"/>
  </cols>
  <sheetData>
    <row r="1" spans="1:7" ht="24.75" customHeight="1">
      <c r="A1" s="185" t="s">
        <v>113</v>
      </c>
      <c r="B1" s="185"/>
      <c r="C1" s="185"/>
      <c r="D1" s="185"/>
      <c r="E1" s="185"/>
      <c r="F1" s="185"/>
      <c r="G1" s="185"/>
    </row>
    <row r="2" spans="1:5" ht="12.75">
      <c r="A2" s="1" t="s">
        <v>97</v>
      </c>
      <c r="B2" s="1"/>
      <c r="C2" s="1"/>
      <c r="D2" s="1"/>
      <c r="E2" s="1"/>
    </row>
    <row r="3" ht="1.5" customHeight="1" thickBot="1"/>
    <row r="4" spans="1:7" s="3" customFormat="1" ht="27" customHeight="1">
      <c r="A4" s="160">
        <v>79837.29</v>
      </c>
      <c r="B4" s="141" t="s">
        <v>15</v>
      </c>
      <c r="C4" s="142" t="s">
        <v>8</v>
      </c>
      <c r="D4" s="142" t="s">
        <v>9</v>
      </c>
      <c r="E4" s="143" t="s">
        <v>10</v>
      </c>
      <c r="F4" s="143" t="s">
        <v>104</v>
      </c>
      <c r="G4" s="144" t="s">
        <v>1</v>
      </c>
    </row>
    <row r="5" spans="1:7" s="3" customFormat="1" ht="14.25" customHeight="1">
      <c r="A5" s="145" t="s">
        <v>99</v>
      </c>
      <c r="B5" s="146"/>
      <c r="C5" s="147">
        <f>C6</f>
        <v>818784.55</v>
      </c>
      <c r="D5" s="147">
        <f>D6</f>
        <v>915096.97</v>
      </c>
      <c r="E5" s="147">
        <v>1043043.2</v>
      </c>
      <c r="F5" s="147">
        <f>F7+F8+F9</f>
        <v>978130.77</v>
      </c>
      <c r="G5" s="148">
        <f>C5+D5+E5+F5</f>
        <v>3755055.4899999998</v>
      </c>
    </row>
    <row r="6" spans="1:7" ht="10.5" customHeight="1">
      <c r="A6" s="149" t="s">
        <v>18</v>
      </c>
      <c r="B6" s="150"/>
      <c r="C6" s="151">
        <f>C7+C8+C9+C20</f>
        <v>818784.55</v>
      </c>
      <c r="D6" s="151">
        <f>D7+D8+D9+D20</f>
        <v>915096.97</v>
      </c>
      <c r="E6" s="151">
        <f>E7+E8+E9+E20</f>
        <v>1043043.2</v>
      </c>
      <c r="F6" s="151">
        <f>F7+F8+F9+F20</f>
        <v>978130.77</v>
      </c>
      <c r="G6" s="151">
        <f>G7+G8+G9+G20</f>
        <v>3755055.49</v>
      </c>
    </row>
    <row r="7" spans="1:9" ht="10.5" customHeight="1">
      <c r="A7" s="108" t="s">
        <v>19</v>
      </c>
      <c r="B7" s="109"/>
      <c r="C7" s="110">
        <v>771625.26</v>
      </c>
      <c r="D7" s="110">
        <v>868073.35</v>
      </c>
      <c r="E7" s="111">
        <v>928392.44</v>
      </c>
      <c r="F7" s="110">
        <v>924983.99</v>
      </c>
      <c r="G7" s="112">
        <f>C7+D7+E7+F7</f>
        <v>3493075.04</v>
      </c>
      <c r="I7" s="3"/>
    </row>
    <row r="8" spans="1:7" ht="10.5" customHeight="1">
      <c r="A8" s="108" t="s">
        <v>53</v>
      </c>
      <c r="B8" s="109"/>
      <c r="C8" s="110">
        <v>1567.03</v>
      </c>
      <c r="D8" s="110">
        <v>123.62</v>
      </c>
      <c r="E8" s="111">
        <v>1609.76</v>
      </c>
      <c r="F8" s="110">
        <v>1096.78</v>
      </c>
      <c r="G8" s="112">
        <f>C8+D8+E8+F8</f>
        <v>4397.19</v>
      </c>
    </row>
    <row r="9" spans="1:7" s="9" customFormat="1" ht="10.5" customHeight="1">
      <c r="A9" s="108" t="s">
        <v>20</v>
      </c>
      <c r="B9" s="113"/>
      <c r="C9" s="114">
        <f>C10+C11+C12+C13+C14+C15+C16+C17+C18+C19</f>
        <v>40342.26</v>
      </c>
      <c r="D9" s="114">
        <f>D10+D11+D12+D13+D14+D15+D16+D17+D18+D19</f>
        <v>44500</v>
      </c>
      <c r="E9" s="114">
        <f>E10+E11+E12+E13+E14+E15+E16+E17+E18+E19</f>
        <v>108041</v>
      </c>
      <c r="F9" s="114">
        <f>F10+F11+F12+F13+F14+F15+F16+F17+F18+F19</f>
        <v>52050</v>
      </c>
      <c r="G9" s="114">
        <f>G10+G11+G12+G13+G14+G15+G16+G17+G18+G19</f>
        <v>244933.26</v>
      </c>
    </row>
    <row r="10" spans="1:7" s="9" customFormat="1" ht="10.5" customHeight="1">
      <c r="A10" s="117" t="s">
        <v>108</v>
      </c>
      <c r="B10" s="113"/>
      <c r="C10" s="114"/>
      <c r="D10" s="114"/>
      <c r="E10" s="114">
        <v>60000</v>
      </c>
      <c r="F10" s="114"/>
      <c r="G10" s="112">
        <f>C10+D10+E10+F10</f>
        <v>60000</v>
      </c>
    </row>
    <row r="11" spans="1:7" s="9" customFormat="1" ht="10.5" customHeight="1">
      <c r="A11" s="108" t="s">
        <v>35</v>
      </c>
      <c r="B11" s="113"/>
      <c r="C11" s="114">
        <v>395.26</v>
      </c>
      <c r="D11" s="115"/>
      <c r="E11" s="116"/>
      <c r="F11" s="115"/>
      <c r="G11" s="112">
        <f aca="true" t="shared" si="0" ref="G11:G20">C11+D11+E11+F11</f>
        <v>395.26</v>
      </c>
    </row>
    <row r="12" spans="1:7" s="9" customFormat="1" ht="10.5" customHeight="1">
      <c r="A12" s="108" t="s">
        <v>40</v>
      </c>
      <c r="B12" s="113"/>
      <c r="C12" s="114">
        <v>750</v>
      </c>
      <c r="D12" s="115">
        <v>1500</v>
      </c>
      <c r="E12" s="116">
        <v>750</v>
      </c>
      <c r="F12" s="115">
        <v>750</v>
      </c>
      <c r="G12" s="112">
        <f t="shared" si="0"/>
        <v>3750</v>
      </c>
    </row>
    <row r="13" spans="1:7" s="9" customFormat="1" ht="10.5" customHeight="1">
      <c r="A13" s="108" t="s">
        <v>36</v>
      </c>
      <c r="B13" s="113"/>
      <c r="C13" s="114">
        <v>2500</v>
      </c>
      <c r="D13" s="115">
        <v>1500</v>
      </c>
      <c r="E13" s="116">
        <v>1000</v>
      </c>
      <c r="F13" s="115">
        <v>2000</v>
      </c>
      <c r="G13" s="112">
        <f t="shared" si="0"/>
        <v>7000</v>
      </c>
    </row>
    <row r="14" spans="1:7" s="9" customFormat="1" ht="10.5" customHeight="1">
      <c r="A14" s="117" t="s">
        <v>54</v>
      </c>
      <c r="B14" s="113"/>
      <c r="C14" s="114"/>
      <c r="D14" s="115"/>
      <c r="E14" s="116"/>
      <c r="F14" s="115">
        <v>7000</v>
      </c>
      <c r="G14" s="112">
        <f t="shared" si="0"/>
        <v>7000</v>
      </c>
    </row>
    <row r="15" spans="1:7" s="9" customFormat="1" ht="10.5" customHeight="1">
      <c r="A15" s="108" t="s">
        <v>34</v>
      </c>
      <c r="B15" s="113"/>
      <c r="C15" s="118">
        <v>3000</v>
      </c>
      <c r="D15" s="119">
        <v>3000</v>
      </c>
      <c r="E15" s="120">
        <v>3000</v>
      </c>
      <c r="F15" s="119">
        <v>3000</v>
      </c>
      <c r="G15" s="112">
        <f t="shared" si="0"/>
        <v>12000</v>
      </c>
    </row>
    <row r="16" spans="1:7" s="9" customFormat="1" ht="10.5" customHeight="1">
      <c r="A16" s="108" t="s">
        <v>49</v>
      </c>
      <c r="B16" s="113"/>
      <c r="C16" s="118">
        <v>1497</v>
      </c>
      <c r="D16" s="119"/>
      <c r="E16" s="120">
        <v>4491</v>
      </c>
      <c r="F16" s="119"/>
      <c r="G16" s="112">
        <f t="shared" si="0"/>
        <v>5988</v>
      </c>
    </row>
    <row r="17" spans="1:7" s="9" customFormat="1" ht="10.5" customHeight="1">
      <c r="A17" s="108" t="s">
        <v>17</v>
      </c>
      <c r="B17" s="113"/>
      <c r="C17" s="114">
        <v>15000</v>
      </c>
      <c r="D17" s="115">
        <v>15000</v>
      </c>
      <c r="E17" s="116">
        <v>15000</v>
      </c>
      <c r="F17" s="115">
        <v>15000</v>
      </c>
      <c r="G17" s="112">
        <f t="shared" si="0"/>
        <v>60000</v>
      </c>
    </row>
    <row r="18" spans="1:7" s="9" customFormat="1" ht="10.5" customHeight="1">
      <c r="A18" s="108" t="s">
        <v>48</v>
      </c>
      <c r="B18" s="113"/>
      <c r="C18" s="114">
        <v>14000</v>
      </c>
      <c r="D18" s="115">
        <v>23500</v>
      </c>
      <c r="E18" s="116">
        <v>19000</v>
      </c>
      <c r="F18" s="115">
        <v>19500</v>
      </c>
      <c r="G18" s="112">
        <f t="shared" si="0"/>
        <v>76000</v>
      </c>
    </row>
    <row r="19" spans="1:7" s="9" customFormat="1" ht="10.5" customHeight="1">
      <c r="A19" s="108" t="s">
        <v>43</v>
      </c>
      <c r="B19" s="113"/>
      <c r="C19" s="118">
        <v>3200</v>
      </c>
      <c r="D19" s="119"/>
      <c r="E19" s="120">
        <v>4800</v>
      </c>
      <c r="F19" s="119">
        <v>4800</v>
      </c>
      <c r="G19" s="112">
        <f t="shared" si="0"/>
        <v>12800</v>
      </c>
    </row>
    <row r="20" spans="1:7" s="9" customFormat="1" ht="10.5" customHeight="1">
      <c r="A20" s="108" t="s">
        <v>100</v>
      </c>
      <c r="B20" s="113"/>
      <c r="C20" s="114">
        <v>5250</v>
      </c>
      <c r="D20" s="115">
        <v>2400</v>
      </c>
      <c r="E20" s="116">
        <v>5000</v>
      </c>
      <c r="F20" s="161"/>
      <c r="G20" s="112">
        <f t="shared" si="0"/>
        <v>12650</v>
      </c>
    </row>
    <row r="21" spans="1:7" ht="11.25" customHeight="1">
      <c r="A21" s="145" t="s">
        <v>3</v>
      </c>
      <c r="B21" s="152"/>
      <c r="C21" s="146">
        <f>C22+C23+C27</f>
        <v>891835.8900000001</v>
      </c>
      <c r="D21" s="146">
        <f>D22+D23+D27</f>
        <v>899078.1499999999</v>
      </c>
      <c r="E21" s="146">
        <f>E22+E23+E27</f>
        <v>822117.78</v>
      </c>
      <c r="F21" s="146">
        <f>F22+F23+F27</f>
        <v>1187088.03</v>
      </c>
      <c r="G21" s="146">
        <f>G22+G23+G27</f>
        <v>3800119.85</v>
      </c>
    </row>
    <row r="22" spans="1:7" ht="11.25" customHeight="1">
      <c r="A22" s="121" t="s">
        <v>4</v>
      </c>
      <c r="B22" s="122"/>
      <c r="C22" s="123">
        <v>299613.44</v>
      </c>
      <c r="D22" s="123">
        <f>379744.31-522-8000</f>
        <v>371222.31</v>
      </c>
      <c r="E22" s="123">
        <f>352259.11-5002</f>
        <v>347257.11</v>
      </c>
      <c r="F22" s="123">
        <f>426508.02-9570-8004.48</f>
        <v>408933.54000000004</v>
      </c>
      <c r="G22" s="124">
        <f>C22+D22+E22+F22</f>
        <v>1427026.4</v>
      </c>
    </row>
    <row r="23" spans="1:7" ht="11.25" customHeight="1">
      <c r="A23" s="121" t="s">
        <v>5</v>
      </c>
      <c r="B23" s="122"/>
      <c r="C23" s="123">
        <f>SUM(C24:C26)</f>
        <v>125552.1</v>
      </c>
      <c r="D23" s="123">
        <f>SUM(D24:D26)</f>
        <v>143520.04</v>
      </c>
      <c r="E23" s="123">
        <f>E24+E25</f>
        <v>128674.36</v>
      </c>
      <c r="F23" s="123">
        <f>F24+F25</f>
        <v>158068.33000000002</v>
      </c>
      <c r="G23" s="124">
        <f>C23+D23+E23+F23</f>
        <v>555814.8300000001</v>
      </c>
    </row>
    <row r="24" spans="1:7" ht="11.25" customHeight="1">
      <c r="A24" s="125" t="s">
        <v>96</v>
      </c>
      <c r="B24" s="126"/>
      <c r="C24" s="127">
        <v>81811.1</v>
      </c>
      <c r="D24" s="127">
        <v>78836.56</v>
      </c>
      <c r="E24" s="127">
        <v>78194.36</v>
      </c>
      <c r="F24" s="127">
        <v>98085.28</v>
      </c>
      <c r="G24" s="124">
        <f>C24+D24+E24+F24</f>
        <v>336927.30000000005</v>
      </c>
    </row>
    <row r="25" spans="1:7" ht="11.25" customHeight="1">
      <c r="A25" s="125" t="s">
        <v>6</v>
      </c>
      <c r="B25" s="126"/>
      <c r="C25" s="127">
        <v>43741</v>
      </c>
      <c r="D25" s="127">
        <v>54872</v>
      </c>
      <c r="E25" s="127">
        <v>50480</v>
      </c>
      <c r="F25" s="127">
        <v>59983.05</v>
      </c>
      <c r="G25" s="124">
        <f>C25+D25+E25+F25</f>
        <v>209076.05</v>
      </c>
    </row>
    <row r="26" spans="1:7" ht="9.75" customHeight="1">
      <c r="A26" s="125" t="s">
        <v>21</v>
      </c>
      <c r="B26" s="126"/>
      <c r="C26" s="127"/>
      <c r="D26" s="127">
        <v>9811.48</v>
      </c>
      <c r="E26" s="127"/>
      <c r="F26" s="127"/>
      <c r="G26" s="124">
        <f>C26+D26+E26+F26</f>
        <v>9811.48</v>
      </c>
    </row>
    <row r="27" spans="1:7" ht="11.25" customHeight="1">
      <c r="A27" s="128" t="s">
        <v>12</v>
      </c>
      <c r="B27" s="129"/>
      <c r="C27" s="130">
        <f>SUM(C28:C63)</f>
        <v>466670.3500000001</v>
      </c>
      <c r="D27" s="130">
        <f>SUM(D28:D63)</f>
        <v>384335.8</v>
      </c>
      <c r="E27" s="130">
        <f>SUM(E28:E63)</f>
        <v>346186.31</v>
      </c>
      <c r="F27" s="130">
        <f>SUM(F28:F63)</f>
        <v>620086.1599999999</v>
      </c>
      <c r="G27" s="130">
        <f>SUM(G28:G63)</f>
        <v>1817278.62</v>
      </c>
    </row>
    <row r="28" spans="1:7" ht="11.25" customHeight="1">
      <c r="A28" s="125" t="s">
        <v>98</v>
      </c>
      <c r="B28" s="126"/>
      <c r="C28" s="127">
        <v>34742</v>
      </c>
      <c r="D28" s="127">
        <v>16538.78</v>
      </c>
      <c r="E28" s="127">
        <v>13888.53</v>
      </c>
      <c r="F28" s="127">
        <v>33887.34</v>
      </c>
      <c r="G28" s="124">
        <f>C28+D28+E28+F28</f>
        <v>99056.65</v>
      </c>
    </row>
    <row r="29" spans="1:7" ht="11.25" customHeight="1">
      <c r="A29" s="125" t="s">
        <v>32</v>
      </c>
      <c r="B29" s="126"/>
      <c r="C29" s="127"/>
      <c r="D29" s="127">
        <v>17645.37</v>
      </c>
      <c r="E29" s="127">
        <v>6272.1</v>
      </c>
      <c r="F29" s="127"/>
      <c r="G29" s="124">
        <f aca="true" t="shared" si="1" ref="G29:G63">C29+D29+E29+F29</f>
        <v>23917.47</v>
      </c>
    </row>
    <row r="30" spans="1:7" ht="11.25" customHeight="1">
      <c r="A30" s="125" t="s">
        <v>87</v>
      </c>
      <c r="B30" s="126"/>
      <c r="C30" s="127">
        <v>46550</v>
      </c>
      <c r="D30" s="127">
        <v>47540</v>
      </c>
      <c r="E30" s="127">
        <v>47540</v>
      </c>
      <c r="F30" s="127">
        <v>46715</v>
      </c>
      <c r="G30" s="124">
        <f t="shared" si="1"/>
        <v>188345</v>
      </c>
    </row>
    <row r="31" spans="1:7" ht="11.25" customHeight="1">
      <c r="A31" s="125" t="s">
        <v>121</v>
      </c>
      <c r="B31" s="126"/>
      <c r="C31" s="127">
        <v>67133.64</v>
      </c>
      <c r="D31" s="127">
        <v>54268.2</v>
      </c>
      <c r="E31" s="127">
        <f>42714.34+29000</f>
        <v>71714.34</v>
      </c>
      <c r="F31" s="127">
        <v>43414.56</v>
      </c>
      <c r="G31" s="124">
        <f t="shared" si="1"/>
        <v>236530.74</v>
      </c>
    </row>
    <row r="32" spans="1:7" ht="11.25" customHeight="1">
      <c r="A32" s="125" t="s">
        <v>105</v>
      </c>
      <c r="B32" s="126"/>
      <c r="C32" s="127">
        <v>2000</v>
      </c>
      <c r="D32" s="127"/>
      <c r="E32" s="127"/>
      <c r="F32" s="127">
        <v>8800</v>
      </c>
      <c r="G32" s="124">
        <f t="shared" si="1"/>
        <v>10800</v>
      </c>
    </row>
    <row r="33" spans="1:7" ht="11.25" customHeight="1">
      <c r="A33" s="131" t="s">
        <v>86</v>
      </c>
      <c r="B33" s="132"/>
      <c r="C33" s="133">
        <v>10000</v>
      </c>
      <c r="D33" s="133">
        <v>50000</v>
      </c>
      <c r="E33" s="133">
        <v>30000</v>
      </c>
      <c r="F33" s="133">
        <v>30000</v>
      </c>
      <c r="G33" s="124">
        <f t="shared" si="1"/>
        <v>120000</v>
      </c>
    </row>
    <row r="34" spans="1:7" ht="11.25" customHeight="1">
      <c r="A34" s="134" t="s">
        <v>88</v>
      </c>
      <c r="B34" s="129"/>
      <c r="C34" s="135">
        <v>6500</v>
      </c>
      <c r="D34" s="135">
        <f>2400+522</f>
        <v>2922</v>
      </c>
      <c r="E34" s="135"/>
      <c r="F34" s="135">
        <v>25400</v>
      </c>
      <c r="G34" s="124">
        <f t="shared" si="1"/>
        <v>34822</v>
      </c>
    </row>
    <row r="35" spans="1:7" ht="11.25" customHeight="1">
      <c r="A35" s="125" t="s">
        <v>122</v>
      </c>
      <c r="B35" s="126"/>
      <c r="C35" s="127">
        <v>40383.15</v>
      </c>
      <c r="D35" s="127"/>
      <c r="E35" s="127"/>
      <c r="F35" s="127">
        <v>8004.48</v>
      </c>
      <c r="G35" s="124">
        <f t="shared" si="1"/>
        <v>48387.630000000005</v>
      </c>
    </row>
    <row r="36" spans="1:11" ht="11.25" customHeight="1">
      <c r="A36" s="125" t="s">
        <v>127</v>
      </c>
      <c r="B36" s="126"/>
      <c r="C36" s="127">
        <v>4300</v>
      </c>
      <c r="D36" s="127">
        <v>3000</v>
      </c>
      <c r="E36" s="127">
        <v>14845</v>
      </c>
      <c r="F36" s="127">
        <v>29250.5</v>
      </c>
      <c r="G36" s="124">
        <f t="shared" si="1"/>
        <v>51395.5</v>
      </c>
      <c r="H36" s="182"/>
      <c r="I36" s="183"/>
      <c r="J36" s="183"/>
      <c r="K36" s="183"/>
    </row>
    <row r="37" spans="1:7" ht="11.25" customHeight="1">
      <c r="A37" s="125" t="s">
        <v>128</v>
      </c>
      <c r="B37" s="126"/>
      <c r="C37" s="127">
        <v>90000</v>
      </c>
      <c r="D37" s="127">
        <v>108673.64</v>
      </c>
      <c r="E37" s="127">
        <v>30000</v>
      </c>
      <c r="F37" s="127">
        <v>219860</v>
      </c>
      <c r="G37" s="124">
        <f t="shared" si="1"/>
        <v>448533.64</v>
      </c>
    </row>
    <row r="38" spans="1:7" ht="11.25" customHeight="1">
      <c r="A38" s="125" t="s">
        <v>107</v>
      </c>
      <c r="B38" s="126"/>
      <c r="C38" s="127">
        <v>3750</v>
      </c>
      <c r="D38" s="127">
        <v>4800</v>
      </c>
      <c r="E38" s="127">
        <v>6400</v>
      </c>
      <c r="F38" s="127"/>
      <c r="G38" s="124">
        <f t="shared" si="1"/>
        <v>14950</v>
      </c>
    </row>
    <row r="39" spans="1:7" ht="11.25" customHeight="1">
      <c r="A39" s="125" t="s">
        <v>106</v>
      </c>
      <c r="B39" s="126"/>
      <c r="C39" s="127">
        <v>2400</v>
      </c>
      <c r="D39" s="127">
        <v>4800</v>
      </c>
      <c r="E39" s="127">
        <v>3600</v>
      </c>
      <c r="F39" s="127">
        <v>3600</v>
      </c>
      <c r="G39" s="124">
        <f t="shared" si="1"/>
        <v>14400</v>
      </c>
    </row>
    <row r="40" spans="1:7" ht="22.5" customHeight="1">
      <c r="A40" s="181" t="s">
        <v>120</v>
      </c>
      <c r="B40" s="126"/>
      <c r="C40" s="127">
        <f>5070.89+550</f>
        <v>5620.89</v>
      </c>
      <c r="D40" s="127">
        <f>1933+9445+1139</f>
        <v>12517</v>
      </c>
      <c r="E40" s="127">
        <v>5959.5</v>
      </c>
      <c r="F40" s="127">
        <v>12789.68</v>
      </c>
      <c r="G40" s="124">
        <f t="shared" si="1"/>
        <v>36887.07</v>
      </c>
    </row>
    <row r="41" spans="1:7" ht="11.25" customHeight="1">
      <c r="A41" s="125" t="s">
        <v>89</v>
      </c>
      <c r="B41" s="126"/>
      <c r="C41" s="127">
        <v>4795.4</v>
      </c>
      <c r="D41" s="127">
        <v>2948.66</v>
      </c>
      <c r="E41" s="127"/>
      <c r="F41" s="127"/>
      <c r="G41" s="124">
        <f t="shared" si="1"/>
        <v>7744.0599999999995</v>
      </c>
    </row>
    <row r="42" spans="1:7" ht="11.25" customHeight="1">
      <c r="A42" s="125" t="s">
        <v>109</v>
      </c>
      <c r="B42" s="126"/>
      <c r="C42" s="127"/>
      <c r="D42" s="127"/>
      <c r="E42" s="127">
        <v>54300</v>
      </c>
      <c r="F42" s="127"/>
      <c r="G42" s="124">
        <f t="shared" si="1"/>
        <v>54300</v>
      </c>
    </row>
    <row r="43" spans="1:7" ht="11.25" customHeight="1">
      <c r="A43" s="131" t="s">
        <v>90</v>
      </c>
      <c r="B43" s="132"/>
      <c r="C43" s="133"/>
      <c r="D43" s="133"/>
      <c r="E43" s="133">
        <v>35055</v>
      </c>
      <c r="F43" s="133"/>
      <c r="G43" s="124">
        <f t="shared" si="1"/>
        <v>35055</v>
      </c>
    </row>
    <row r="44" spans="1:7" ht="11.25" customHeight="1">
      <c r="A44" s="131" t="s">
        <v>117</v>
      </c>
      <c r="B44" s="132"/>
      <c r="C44" s="133"/>
      <c r="D44" s="133">
        <f>2798+8000</f>
        <v>10798</v>
      </c>
      <c r="E44" s="133">
        <v>1404</v>
      </c>
      <c r="F44" s="133"/>
      <c r="G44" s="124">
        <f t="shared" si="1"/>
        <v>12202</v>
      </c>
    </row>
    <row r="45" spans="1:7" ht="10.5" customHeight="1">
      <c r="A45" s="153" t="s">
        <v>115</v>
      </c>
      <c r="B45" s="132"/>
      <c r="C45" s="133"/>
      <c r="D45" s="133">
        <f>8700+3485</f>
        <v>12185</v>
      </c>
      <c r="E45" s="133">
        <v>5002</v>
      </c>
      <c r="F45" s="133"/>
      <c r="G45" s="124">
        <f t="shared" si="1"/>
        <v>17187</v>
      </c>
    </row>
    <row r="46" spans="1:7" ht="21.75" customHeight="1">
      <c r="A46" s="153" t="s">
        <v>126</v>
      </c>
      <c r="B46" s="132"/>
      <c r="C46" s="133">
        <f>10821.3+655.7</f>
        <v>11477</v>
      </c>
      <c r="D46" s="133">
        <f>6868.33</f>
        <v>6868.33</v>
      </c>
      <c r="E46" s="133"/>
      <c r="F46" s="133">
        <v>9570</v>
      </c>
      <c r="G46" s="124">
        <f t="shared" si="1"/>
        <v>27915.33</v>
      </c>
    </row>
    <row r="47" spans="1:7" ht="11.25" customHeight="1">
      <c r="A47" s="136" t="s">
        <v>91</v>
      </c>
      <c r="B47" s="132"/>
      <c r="C47" s="133"/>
      <c r="D47" s="133"/>
      <c r="E47" s="133">
        <f>2850+1515</f>
        <v>4365</v>
      </c>
      <c r="F47" s="133"/>
      <c r="G47" s="124">
        <f t="shared" si="1"/>
        <v>4365</v>
      </c>
    </row>
    <row r="48" spans="1:7" ht="11.25" customHeight="1">
      <c r="A48" s="134" t="s">
        <v>37</v>
      </c>
      <c r="B48" s="137"/>
      <c r="C48" s="127">
        <v>7500</v>
      </c>
      <c r="D48" s="127">
        <v>7500</v>
      </c>
      <c r="E48" s="127"/>
      <c r="F48" s="127">
        <v>13000</v>
      </c>
      <c r="G48" s="124">
        <f t="shared" si="1"/>
        <v>28000</v>
      </c>
    </row>
    <row r="49" spans="1:7" ht="11.25" customHeight="1" hidden="1">
      <c r="A49" s="134" t="s">
        <v>101</v>
      </c>
      <c r="B49" s="138"/>
      <c r="C49" s="135"/>
      <c r="D49" s="135"/>
      <c r="E49" s="135"/>
      <c r="F49" s="135"/>
      <c r="G49" s="124">
        <f t="shared" si="1"/>
        <v>0</v>
      </c>
    </row>
    <row r="50" spans="1:7" ht="11.25" customHeight="1">
      <c r="A50" s="134" t="s">
        <v>92</v>
      </c>
      <c r="B50" s="129"/>
      <c r="C50" s="135">
        <v>6913.32</v>
      </c>
      <c r="D50" s="135">
        <v>7891.89</v>
      </c>
      <c r="E50" s="135">
        <v>9162.51</v>
      </c>
      <c r="F50" s="135">
        <v>8431.41</v>
      </c>
      <c r="G50" s="124">
        <f t="shared" si="1"/>
        <v>32399.13</v>
      </c>
    </row>
    <row r="51" spans="1:7" ht="11.25" customHeight="1">
      <c r="A51" s="125" t="s">
        <v>42</v>
      </c>
      <c r="B51" s="126"/>
      <c r="C51" s="127">
        <v>7584.21</v>
      </c>
      <c r="D51" s="127">
        <v>4666.66</v>
      </c>
      <c r="E51" s="127">
        <v>1007.83</v>
      </c>
      <c r="F51" s="127">
        <v>4258.82</v>
      </c>
      <c r="G51" s="124">
        <f t="shared" si="1"/>
        <v>17517.519999999997</v>
      </c>
    </row>
    <row r="52" spans="1:7" ht="11.25" customHeight="1">
      <c r="A52" s="125" t="s">
        <v>125</v>
      </c>
      <c r="B52" s="126"/>
      <c r="C52" s="127">
        <v>4700</v>
      </c>
      <c r="D52" s="127">
        <f>380+2634.08</f>
        <v>3014.08</v>
      </c>
      <c r="E52" s="127"/>
      <c r="F52" s="127"/>
      <c r="G52" s="124">
        <f t="shared" si="1"/>
        <v>7714.08</v>
      </c>
    </row>
    <row r="53" spans="1:7" ht="11.25" customHeight="1" hidden="1">
      <c r="A53" s="125" t="s">
        <v>93</v>
      </c>
      <c r="B53" s="126"/>
      <c r="C53" s="127"/>
      <c r="D53" s="127"/>
      <c r="E53" s="127"/>
      <c r="F53" s="127"/>
      <c r="G53" s="124">
        <f t="shared" si="1"/>
        <v>0</v>
      </c>
    </row>
    <row r="54" spans="1:7" ht="11.25" customHeight="1">
      <c r="A54" s="125" t="s">
        <v>30</v>
      </c>
      <c r="B54" s="126"/>
      <c r="C54" s="127">
        <v>1200</v>
      </c>
      <c r="D54" s="127">
        <v>2180</v>
      </c>
      <c r="E54" s="127">
        <v>1850</v>
      </c>
      <c r="F54" s="127">
        <v>2100</v>
      </c>
      <c r="G54" s="124">
        <f t="shared" si="1"/>
        <v>7330</v>
      </c>
    </row>
    <row r="55" spans="1:7" ht="11.25" customHeight="1">
      <c r="A55" s="131" t="s">
        <v>124</v>
      </c>
      <c r="B55" s="132"/>
      <c r="C55" s="133">
        <f>2500+270+2500</f>
        <v>5270</v>
      </c>
      <c r="D55" s="133">
        <f>2695.19+350</f>
        <v>3045.19</v>
      </c>
      <c r="E55" s="133">
        <f>1680+1680+420</f>
        <v>3780</v>
      </c>
      <c r="F55" s="133">
        <v>2686.1</v>
      </c>
      <c r="G55" s="124">
        <f t="shared" si="1"/>
        <v>14781.29</v>
      </c>
    </row>
    <row r="56" spans="1:8" ht="11.25" customHeight="1">
      <c r="A56" s="139" t="s">
        <v>116</v>
      </c>
      <c r="B56" s="140"/>
      <c r="C56" s="127"/>
      <c r="D56" s="127"/>
      <c r="E56" s="127"/>
      <c r="F56" s="127">
        <v>16500</v>
      </c>
      <c r="G56" s="124">
        <f t="shared" si="1"/>
        <v>16500</v>
      </c>
      <c r="H56" s="14"/>
    </row>
    <row r="57" spans="1:8" ht="11.25" customHeight="1">
      <c r="A57" s="139" t="s">
        <v>102</v>
      </c>
      <c r="B57" s="140"/>
      <c r="C57" s="127">
        <v>103233</v>
      </c>
      <c r="D57" s="127">
        <v>300</v>
      </c>
      <c r="E57" s="127"/>
      <c r="F57" s="127"/>
      <c r="G57" s="124">
        <f t="shared" si="1"/>
        <v>103533</v>
      </c>
      <c r="H57" s="14"/>
    </row>
    <row r="58" spans="1:8" ht="11.25" customHeight="1">
      <c r="A58" s="139" t="s">
        <v>110</v>
      </c>
      <c r="B58" s="180"/>
      <c r="C58" s="133"/>
      <c r="D58" s="133"/>
      <c r="E58" s="133"/>
      <c r="F58" s="133">
        <v>11350</v>
      </c>
      <c r="G58" s="124">
        <f t="shared" si="1"/>
        <v>11350</v>
      </c>
      <c r="H58" s="14"/>
    </row>
    <row r="59" spans="1:8" ht="11.25" customHeight="1">
      <c r="A59" s="139" t="s">
        <v>111</v>
      </c>
      <c r="B59" s="180"/>
      <c r="C59" s="133"/>
      <c r="D59" s="133"/>
      <c r="E59" s="133"/>
      <c r="F59" s="133">
        <v>33200</v>
      </c>
      <c r="G59" s="124">
        <f t="shared" si="1"/>
        <v>33200</v>
      </c>
      <c r="H59" s="14"/>
    </row>
    <row r="60" spans="1:8" ht="11.25" customHeight="1">
      <c r="A60" s="139" t="s">
        <v>112</v>
      </c>
      <c r="B60" s="180"/>
      <c r="C60" s="133"/>
      <c r="D60" s="133"/>
      <c r="E60" s="133"/>
      <c r="F60" s="133">
        <v>44000</v>
      </c>
      <c r="G60" s="124">
        <f t="shared" si="1"/>
        <v>44000</v>
      </c>
      <c r="H60" s="14"/>
    </row>
    <row r="61" spans="1:8" ht="11.25" customHeight="1">
      <c r="A61" s="139" t="s">
        <v>119</v>
      </c>
      <c r="B61" s="180"/>
      <c r="C61" s="133">
        <v>617.74</v>
      </c>
      <c r="D61" s="133">
        <v>233</v>
      </c>
      <c r="E61" s="133">
        <v>40.5</v>
      </c>
      <c r="F61" s="133">
        <v>282.55</v>
      </c>
      <c r="G61" s="124">
        <f t="shared" si="1"/>
        <v>1173.79</v>
      </c>
      <c r="H61" s="14"/>
    </row>
    <row r="62" spans="1:8" ht="11.25" customHeight="1">
      <c r="A62" s="139" t="s">
        <v>114</v>
      </c>
      <c r="B62" s="180"/>
      <c r="C62" s="133"/>
      <c r="D62" s="133"/>
      <c r="E62" s="133"/>
      <c r="F62" s="133">
        <v>11350.14</v>
      </c>
      <c r="G62" s="124">
        <f t="shared" si="1"/>
        <v>11350.14</v>
      </c>
      <c r="H62" s="14"/>
    </row>
    <row r="63" spans="1:8" ht="11.25" customHeight="1" thickBot="1">
      <c r="A63" s="139" t="s">
        <v>123</v>
      </c>
      <c r="B63" s="180"/>
      <c r="C63" s="133"/>
      <c r="D63" s="133"/>
      <c r="E63" s="133"/>
      <c r="F63" s="133">
        <v>1635.58</v>
      </c>
      <c r="G63" s="124">
        <f t="shared" si="1"/>
        <v>1635.58</v>
      </c>
      <c r="H63" s="14"/>
    </row>
    <row r="64" spans="1:7" ht="11.25" customHeight="1">
      <c r="A64" s="154" t="s">
        <v>13</v>
      </c>
      <c r="B64" s="155"/>
      <c r="C64" s="156">
        <f>C5-C21</f>
        <v>-73051.34000000008</v>
      </c>
      <c r="D64" s="156">
        <f>D5-D21</f>
        <v>16018.820000000065</v>
      </c>
      <c r="E64" s="156">
        <f>E5-E21</f>
        <v>220925.41999999993</v>
      </c>
      <c r="F64" s="156">
        <f>F5-F21</f>
        <v>-208957.26</v>
      </c>
      <c r="G64" s="156">
        <f>G5-G21</f>
        <v>-45064.360000000335</v>
      </c>
    </row>
    <row r="65" spans="1:8" ht="18.75" customHeight="1" thickBot="1">
      <c r="A65" s="157" t="s">
        <v>14</v>
      </c>
      <c r="B65" s="158">
        <v>374386.23</v>
      </c>
      <c r="C65" s="158">
        <f>A4+C5-C21</f>
        <v>6785.949999999953</v>
      </c>
      <c r="D65" s="158">
        <f>D64+C65</f>
        <v>22804.77000000002</v>
      </c>
      <c r="E65" s="158">
        <f>E64+D65</f>
        <v>243730.18999999994</v>
      </c>
      <c r="F65" s="158">
        <f>F64+E65</f>
        <v>34772.929999999935</v>
      </c>
      <c r="G65" s="158">
        <f>A4+G64</f>
        <v>34772.92999999966</v>
      </c>
      <c r="H65" s="32"/>
    </row>
    <row r="66" spans="1:8" ht="12.75">
      <c r="A66" s="19"/>
      <c r="B66" s="20"/>
      <c r="C66" s="70"/>
      <c r="D66" s="21"/>
      <c r="F66" s="21"/>
      <c r="G66" s="22"/>
      <c r="H66" s="14"/>
    </row>
    <row r="67" spans="1:8" ht="12.75" hidden="1">
      <c r="A67" t="s">
        <v>118</v>
      </c>
      <c r="B67" t="s">
        <v>7</v>
      </c>
      <c r="C67" s="14">
        <v>2831.07</v>
      </c>
      <c r="D67" s="21">
        <v>13100</v>
      </c>
      <c r="E67" s="14">
        <v>6000</v>
      </c>
      <c r="F67" s="14">
        <v>13072.23</v>
      </c>
      <c r="G67" s="22"/>
      <c r="H67" s="14"/>
    </row>
    <row r="68" spans="3:7" ht="12.75" hidden="1">
      <c r="C68" s="23"/>
      <c r="F68">
        <v>34772.93</v>
      </c>
      <c r="G68" s="22"/>
    </row>
    <row r="69" ht="12.75" hidden="1">
      <c r="C69">
        <v>4603.89</v>
      </c>
    </row>
    <row r="70" ht="12.75" hidden="1">
      <c r="C70" s="14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="85" zoomScaleNormal="85" zoomScalePageLayoutView="0" workbookViewId="0" topLeftCell="A50">
      <selection activeCell="A89" sqref="A89"/>
    </sheetView>
  </sheetViews>
  <sheetFormatPr defaultColWidth="9.140625" defaultRowHeight="12.75"/>
  <cols>
    <col min="1" max="1" width="79.421875" style="0" customWidth="1"/>
    <col min="2" max="2" width="12.00390625" style="0" customWidth="1"/>
    <col min="3" max="3" width="15.140625" style="0" customWidth="1"/>
    <col min="4" max="4" width="13.8515625" style="0" customWidth="1"/>
    <col min="5" max="5" width="14.00390625" style="0" customWidth="1"/>
    <col min="6" max="6" width="14.8515625" style="0" customWidth="1"/>
    <col min="7" max="7" width="14.57421875" style="0" customWidth="1"/>
    <col min="9" max="9" width="11.8515625" style="0" customWidth="1"/>
  </cols>
  <sheetData>
    <row r="1" spans="1:7" ht="24.75" customHeight="1">
      <c r="A1" s="185" t="s">
        <v>52</v>
      </c>
      <c r="B1" s="185"/>
      <c r="C1" s="185"/>
      <c r="D1" s="185"/>
      <c r="E1" s="185"/>
      <c r="F1" s="185"/>
      <c r="G1" s="185"/>
    </row>
    <row r="2" spans="2:5" ht="12.75">
      <c r="B2" s="1"/>
      <c r="C2" s="1"/>
      <c r="D2" s="1"/>
      <c r="E2" s="1"/>
    </row>
    <row r="3" spans="1:5" ht="12.75">
      <c r="A3" t="s">
        <v>0</v>
      </c>
      <c r="B3" s="1"/>
      <c r="C3" s="1"/>
      <c r="D3" s="1"/>
      <c r="E3" s="1"/>
    </row>
    <row r="4" ht="5.25" customHeight="1" thickBot="1"/>
    <row r="5" spans="1:7" s="3" customFormat="1" ht="27" customHeight="1">
      <c r="A5" s="2"/>
      <c r="B5" s="30" t="s">
        <v>15</v>
      </c>
      <c r="C5" s="27" t="s">
        <v>8</v>
      </c>
      <c r="D5" s="27" t="s">
        <v>9</v>
      </c>
      <c r="E5" s="28" t="s">
        <v>10</v>
      </c>
      <c r="F5" s="28" t="s">
        <v>11</v>
      </c>
      <c r="G5" s="29" t="s">
        <v>1</v>
      </c>
    </row>
    <row r="6" spans="1:7" s="3" customFormat="1" ht="22.5" customHeight="1">
      <c r="A6" s="24" t="s">
        <v>2</v>
      </c>
      <c r="B6" s="38"/>
      <c r="C6" s="36">
        <f>C7</f>
        <v>850137.03</v>
      </c>
      <c r="D6" s="36">
        <f>D7</f>
        <v>1003022.78</v>
      </c>
      <c r="E6" s="36">
        <f>E7</f>
        <v>1037545.41</v>
      </c>
      <c r="F6" s="36">
        <f>F7</f>
        <v>1304862.56</v>
      </c>
      <c r="G6" s="37">
        <f>G7</f>
        <v>4195567.78</v>
      </c>
    </row>
    <row r="7" spans="1:7" ht="16.5" customHeight="1">
      <c r="A7" s="75" t="s">
        <v>18</v>
      </c>
      <c r="B7" s="5"/>
      <c r="C7" s="45">
        <f>C8+C9+C10</f>
        <v>850137.03</v>
      </c>
      <c r="D7" s="45">
        <f>D8+D10+D9</f>
        <v>1003022.78</v>
      </c>
      <c r="E7" s="45">
        <f>E8+E10+E9</f>
        <v>1037545.41</v>
      </c>
      <c r="F7" s="45">
        <f>F8+F10+F9</f>
        <v>1304862.56</v>
      </c>
      <c r="G7" s="45">
        <f>C7+D7+E7+F7</f>
        <v>4195567.78</v>
      </c>
    </row>
    <row r="8" spans="1:7" ht="15.75" customHeight="1">
      <c r="A8" s="76" t="s">
        <v>19</v>
      </c>
      <c r="B8" s="7"/>
      <c r="C8" s="46">
        <v>810987</v>
      </c>
      <c r="D8" s="46">
        <v>930003.56</v>
      </c>
      <c r="E8" s="47">
        <v>988455.87</v>
      </c>
      <c r="F8" s="46">
        <v>1249663</v>
      </c>
      <c r="G8" s="45">
        <f aca="true" t="shared" si="0" ref="G8:G20">C8+D8+E8+F8</f>
        <v>3979109.43</v>
      </c>
    </row>
    <row r="9" spans="1:9" ht="15.75" customHeight="1">
      <c r="A9" s="76" t="s">
        <v>53</v>
      </c>
      <c r="B9" s="7"/>
      <c r="C9" s="46">
        <v>1250.03</v>
      </c>
      <c r="D9" s="46">
        <v>2750.22</v>
      </c>
      <c r="E9" s="47">
        <v>2345.54</v>
      </c>
      <c r="F9" s="101">
        <v>3149.56</v>
      </c>
      <c r="G9" s="45">
        <f t="shared" si="0"/>
        <v>9495.35</v>
      </c>
      <c r="I9" s="14"/>
    </row>
    <row r="10" spans="1:9" s="9" customFormat="1" ht="15.75" customHeight="1">
      <c r="A10" s="76" t="s">
        <v>20</v>
      </c>
      <c r="B10" s="8"/>
      <c r="C10" s="48">
        <f>SUM(C11:C20)</f>
        <v>37900</v>
      </c>
      <c r="D10" s="48">
        <f>SUM(D11:D20)</f>
        <v>70269</v>
      </c>
      <c r="E10" s="48">
        <f>SUM(E11:E20)</f>
        <v>46744</v>
      </c>
      <c r="F10" s="48">
        <f>SUM(F11:F20)</f>
        <v>52050</v>
      </c>
      <c r="G10" s="45">
        <f t="shared" si="0"/>
        <v>206963</v>
      </c>
      <c r="I10" s="103"/>
    </row>
    <row r="11" spans="1:7" s="9" customFormat="1" ht="13.5" customHeight="1">
      <c r="A11" s="76" t="s">
        <v>35</v>
      </c>
      <c r="B11" s="8"/>
      <c r="C11" s="48"/>
      <c r="D11" s="49">
        <v>1678</v>
      </c>
      <c r="E11" s="50"/>
      <c r="F11" s="49"/>
      <c r="G11" s="45">
        <f t="shared" si="0"/>
        <v>1678</v>
      </c>
    </row>
    <row r="12" spans="1:7" s="9" customFormat="1" ht="13.5" customHeight="1">
      <c r="A12" s="76" t="s">
        <v>40</v>
      </c>
      <c r="B12" s="8"/>
      <c r="C12" s="48"/>
      <c r="D12" s="49"/>
      <c r="E12" s="50">
        <f>750*3</f>
        <v>2250</v>
      </c>
      <c r="F12" s="49">
        <v>750</v>
      </c>
      <c r="G12" s="45">
        <f t="shared" si="0"/>
        <v>3000</v>
      </c>
    </row>
    <row r="13" spans="1:7" s="9" customFormat="1" ht="13.5" customHeight="1">
      <c r="A13" s="76" t="s">
        <v>36</v>
      </c>
      <c r="B13" s="8"/>
      <c r="C13" s="48">
        <v>1500</v>
      </c>
      <c r="D13" s="49">
        <v>500</v>
      </c>
      <c r="E13" s="50">
        <v>2500</v>
      </c>
      <c r="F13" s="49">
        <v>500</v>
      </c>
      <c r="G13" s="45">
        <f t="shared" si="0"/>
        <v>5000</v>
      </c>
    </row>
    <row r="14" spans="1:7" s="9" customFormat="1" ht="13.5" customHeight="1">
      <c r="A14" s="104" t="s">
        <v>54</v>
      </c>
      <c r="B14" s="8"/>
      <c r="C14" s="48">
        <v>7000</v>
      </c>
      <c r="D14" s="49">
        <v>7000</v>
      </c>
      <c r="E14" s="50"/>
      <c r="F14" s="49"/>
      <c r="G14" s="45">
        <f t="shared" si="0"/>
        <v>14000</v>
      </c>
    </row>
    <row r="15" spans="1:7" s="9" customFormat="1" ht="13.5" customHeight="1">
      <c r="A15" s="76" t="s">
        <v>34</v>
      </c>
      <c r="B15" s="8"/>
      <c r="C15" s="51"/>
      <c r="D15" s="52">
        <f>14*600+400</f>
        <v>8800</v>
      </c>
      <c r="E15" s="53">
        <v>2000</v>
      </c>
      <c r="F15" s="52">
        <v>6600</v>
      </c>
      <c r="G15" s="45">
        <f t="shared" si="0"/>
        <v>17400</v>
      </c>
    </row>
    <row r="16" spans="1:7" s="9" customFormat="1" ht="13.5" customHeight="1">
      <c r="A16" s="76" t="s">
        <v>49</v>
      </c>
      <c r="B16" s="8"/>
      <c r="C16" s="51"/>
      <c r="D16" s="52">
        <f>1497*3</f>
        <v>4491</v>
      </c>
      <c r="E16" s="53">
        <f>1497*2</f>
        <v>2994</v>
      </c>
      <c r="F16" s="52"/>
      <c r="G16" s="45">
        <f t="shared" si="0"/>
        <v>7485</v>
      </c>
    </row>
    <row r="17" spans="1:7" s="9" customFormat="1" ht="13.5" customHeight="1">
      <c r="A17" s="76" t="s">
        <v>17</v>
      </c>
      <c r="B17" s="8"/>
      <c r="C17" s="48">
        <v>15000</v>
      </c>
      <c r="D17" s="49">
        <v>15000</v>
      </c>
      <c r="E17" s="50">
        <v>15000</v>
      </c>
      <c r="F17" s="49">
        <v>15000</v>
      </c>
      <c r="G17" s="45">
        <f t="shared" si="0"/>
        <v>60000</v>
      </c>
    </row>
    <row r="18" spans="1:7" s="9" customFormat="1" ht="13.5" customHeight="1">
      <c r="A18" s="76" t="s">
        <v>48</v>
      </c>
      <c r="B18" s="8"/>
      <c r="C18" s="48">
        <v>12000</v>
      </c>
      <c r="D18" s="49">
        <v>28000</v>
      </c>
      <c r="E18" s="50">
        <v>22000</v>
      </c>
      <c r="F18" s="49">
        <f>20400-4000-2400</f>
        <v>14000</v>
      </c>
      <c r="G18" s="45">
        <f t="shared" si="0"/>
        <v>76000</v>
      </c>
    </row>
    <row r="19" spans="1:7" s="9" customFormat="1" ht="13.5" customHeight="1">
      <c r="A19" s="76" t="s">
        <v>43</v>
      </c>
      <c r="B19" s="8"/>
      <c r="C19" s="51">
        <v>2400</v>
      </c>
      <c r="D19" s="52">
        <f>800*6</f>
        <v>4800</v>
      </c>
      <c r="E19" s="53"/>
      <c r="F19" s="52">
        <v>2400</v>
      </c>
      <c r="G19" s="45">
        <f t="shared" si="0"/>
        <v>9600</v>
      </c>
    </row>
    <row r="20" spans="1:7" s="9" customFormat="1" ht="13.5" customHeight="1">
      <c r="A20" s="76" t="s">
        <v>55</v>
      </c>
      <c r="B20" s="8"/>
      <c r="C20" s="48"/>
      <c r="D20" s="49"/>
      <c r="E20" s="50"/>
      <c r="F20" s="49">
        <f>2400+2400+4000+4000</f>
        <v>12800</v>
      </c>
      <c r="G20" s="45">
        <f t="shared" si="0"/>
        <v>12800</v>
      </c>
    </row>
    <row r="22" spans="1:7" ht="23.25" customHeight="1">
      <c r="A22" s="24" t="s">
        <v>3</v>
      </c>
      <c r="B22" s="25"/>
      <c r="C22" s="38">
        <f>C23+C24+C28+C81</f>
        <v>619024</v>
      </c>
      <c r="D22" s="38">
        <f>D23+D24+D28+D81</f>
        <v>956854.77</v>
      </c>
      <c r="E22" s="38">
        <f>E23+E24+E28+E81</f>
        <v>1005012.7499999999</v>
      </c>
      <c r="F22" s="38">
        <f>F23+F24+F28+F81</f>
        <v>1194103.0400000003</v>
      </c>
      <c r="G22" s="39">
        <f>C22+D22+E22+F22</f>
        <v>3774994.5600000005</v>
      </c>
    </row>
    <row r="23" spans="1:7" ht="14.25" customHeight="1">
      <c r="A23" s="4" t="s">
        <v>4</v>
      </c>
      <c r="B23" s="5"/>
      <c r="C23" s="54">
        <f>212396.75+2400+24360</f>
        <v>239156.75</v>
      </c>
      <c r="D23" s="54">
        <f>321237.56+6000</f>
        <v>327237.56</v>
      </c>
      <c r="E23" s="55">
        <f>333715.44+2400</f>
        <v>336115.44</v>
      </c>
      <c r="F23" s="55">
        <f>409206.01+4500</f>
        <v>413706.01</v>
      </c>
      <c r="G23" s="39">
        <f aca="true" t="shared" si="1" ref="G23:G82">C23+D23+E23+F23</f>
        <v>1316215.76</v>
      </c>
    </row>
    <row r="24" spans="1:7" ht="14.25" customHeight="1">
      <c r="A24" s="4" t="s">
        <v>5</v>
      </c>
      <c r="B24" s="5"/>
      <c r="C24" s="56">
        <f>SUM(C25:C27)</f>
        <v>48366.05</v>
      </c>
      <c r="D24" s="56">
        <f>SUM(D25:D27)</f>
        <v>216851.18</v>
      </c>
      <c r="E24" s="56">
        <f>SUM(E25:E27)</f>
        <v>194604.76</v>
      </c>
      <c r="F24" s="56">
        <f>SUM(F25:F27)</f>
        <v>153038.41</v>
      </c>
      <c r="G24" s="39">
        <f t="shared" si="1"/>
        <v>612860.4</v>
      </c>
    </row>
    <row r="25" spans="1:7" ht="14.25" customHeight="1">
      <c r="A25" s="6" t="s">
        <v>28</v>
      </c>
      <c r="B25" s="7"/>
      <c r="C25" s="43">
        <v>18857.05</v>
      </c>
      <c r="D25" s="43">
        <v>145829.02</v>
      </c>
      <c r="E25" s="57">
        <v>104510.68</v>
      </c>
      <c r="F25" s="43">
        <v>82341.41</v>
      </c>
      <c r="G25" s="39">
        <f t="shared" si="1"/>
        <v>351538.16000000003</v>
      </c>
    </row>
    <row r="26" spans="1:7" ht="14.25" customHeight="1">
      <c r="A26" s="10" t="s">
        <v>6</v>
      </c>
      <c r="B26" s="11"/>
      <c r="C26" s="43">
        <v>29509</v>
      </c>
      <c r="D26" s="43">
        <v>45084</v>
      </c>
      <c r="E26" s="57">
        <v>74799.08</v>
      </c>
      <c r="F26" s="43">
        <v>60687</v>
      </c>
      <c r="G26" s="39">
        <f t="shared" si="1"/>
        <v>210079.08000000002</v>
      </c>
    </row>
    <row r="27" spans="1:7" ht="14.25" customHeight="1">
      <c r="A27" s="10" t="s">
        <v>21</v>
      </c>
      <c r="B27" s="11"/>
      <c r="C27" s="43"/>
      <c r="D27" s="43">
        <v>25938.16</v>
      </c>
      <c r="E27" s="57">
        <v>15295</v>
      </c>
      <c r="F27" s="43">
        <v>10010</v>
      </c>
      <c r="G27" s="39">
        <f t="shared" si="1"/>
        <v>51243.16</v>
      </c>
    </row>
    <row r="28" spans="1:7" ht="14.25" customHeight="1">
      <c r="A28" s="91" t="s">
        <v>12</v>
      </c>
      <c r="B28" s="92"/>
      <c r="C28" s="93">
        <f>SUM(C29:C80)</f>
        <v>306136.2</v>
      </c>
      <c r="D28" s="93">
        <f>SUM(D29:D80)</f>
        <v>384568.13</v>
      </c>
      <c r="E28" s="93">
        <f>SUM(E29:E80)</f>
        <v>447958.44</v>
      </c>
      <c r="F28" s="93">
        <f>SUM(F29:F80)</f>
        <v>615742.8</v>
      </c>
      <c r="G28" s="39">
        <f t="shared" si="1"/>
        <v>1754405.57</v>
      </c>
    </row>
    <row r="29" spans="1:11" ht="15" customHeight="1" thickBot="1">
      <c r="A29" s="76" t="s">
        <v>31</v>
      </c>
      <c r="B29" s="7"/>
      <c r="C29" s="67">
        <v>59005.63</v>
      </c>
      <c r="D29" s="43">
        <v>26084.41</v>
      </c>
      <c r="E29" s="57">
        <f>36486.94+1778.87</f>
        <v>38265.810000000005</v>
      </c>
      <c r="F29" s="102">
        <v>49505</v>
      </c>
      <c r="G29" s="39">
        <f t="shared" si="1"/>
        <v>172860.85</v>
      </c>
      <c r="K29" s="14"/>
    </row>
    <row r="30" spans="1:7" ht="15" customHeight="1" thickBot="1">
      <c r="A30" s="78" t="s">
        <v>32</v>
      </c>
      <c r="B30" s="26"/>
      <c r="C30" s="68">
        <v>556.42</v>
      </c>
      <c r="D30" s="61"/>
      <c r="E30" s="62">
        <v>1832.04</v>
      </c>
      <c r="F30" s="62"/>
      <c r="G30" s="39">
        <f t="shared" si="1"/>
        <v>2388.46</v>
      </c>
    </row>
    <row r="31" spans="1:9" ht="15" customHeight="1">
      <c r="A31" s="77" t="s">
        <v>66</v>
      </c>
      <c r="B31" s="13"/>
      <c r="C31" s="71">
        <v>7425</v>
      </c>
      <c r="D31" s="42">
        <f>1840.65+47740</f>
        <v>49580.65</v>
      </c>
      <c r="E31" s="58">
        <f>6545.87+45540</f>
        <v>52085.87</v>
      </c>
      <c r="F31" s="58">
        <v>47045</v>
      </c>
      <c r="G31" s="39">
        <f t="shared" si="1"/>
        <v>156136.52000000002</v>
      </c>
      <c r="I31" s="14"/>
    </row>
    <row r="32" spans="1:9" ht="15" customHeight="1">
      <c r="A32" s="79" t="s">
        <v>83</v>
      </c>
      <c r="B32" s="16"/>
      <c r="C32" s="72"/>
      <c r="D32" s="44"/>
      <c r="E32" s="63"/>
      <c r="F32" s="63">
        <v>40000</v>
      </c>
      <c r="G32" s="39">
        <f t="shared" si="1"/>
        <v>40000</v>
      </c>
      <c r="I32" s="14"/>
    </row>
    <row r="33" spans="1:9" ht="15" customHeight="1">
      <c r="A33" s="79" t="s">
        <v>81</v>
      </c>
      <c r="B33" s="16"/>
      <c r="C33" s="72">
        <v>5600</v>
      </c>
      <c r="D33" s="44">
        <v>2000</v>
      </c>
      <c r="E33" s="63"/>
      <c r="F33" s="63"/>
      <c r="G33" s="39">
        <f t="shared" si="1"/>
        <v>7600</v>
      </c>
      <c r="I33" s="14"/>
    </row>
    <row r="34" spans="1:9" ht="15" customHeight="1">
      <c r="A34" s="79" t="s">
        <v>79</v>
      </c>
      <c r="B34" s="16"/>
      <c r="C34" s="72">
        <f>20450+9100+15050</f>
        <v>44600</v>
      </c>
      <c r="D34" s="44">
        <v>8150</v>
      </c>
      <c r="E34" s="63"/>
      <c r="F34" s="63">
        <v>4500</v>
      </c>
      <c r="G34" s="39">
        <f t="shared" si="1"/>
        <v>57250</v>
      </c>
      <c r="I34" s="14"/>
    </row>
    <row r="35" spans="1:7" ht="15" customHeight="1">
      <c r="A35" s="76" t="s">
        <v>44</v>
      </c>
      <c r="B35" s="7"/>
      <c r="C35" s="67">
        <v>43414.56</v>
      </c>
      <c r="D35" s="43">
        <v>28943.04</v>
      </c>
      <c r="E35" s="57">
        <v>72357.6</v>
      </c>
      <c r="F35" s="57">
        <v>27519.43</v>
      </c>
      <c r="G35" s="39">
        <f t="shared" si="1"/>
        <v>172234.63</v>
      </c>
    </row>
    <row r="36" spans="1:7" ht="15" customHeight="1" thickBot="1">
      <c r="A36" s="79" t="s">
        <v>51</v>
      </c>
      <c r="B36" s="16"/>
      <c r="C36" s="72"/>
      <c r="D36" s="44"/>
      <c r="E36" s="63"/>
      <c r="F36" s="63">
        <v>8968</v>
      </c>
      <c r="G36" s="39">
        <f t="shared" si="1"/>
        <v>8968</v>
      </c>
    </row>
    <row r="37" spans="1:7" ht="15" customHeight="1" thickBot="1">
      <c r="A37" s="78" t="s">
        <v>72</v>
      </c>
      <c r="B37" s="26"/>
      <c r="C37" s="68"/>
      <c r="D37" s="61"/>
      <c r="E37" s="62">
        <f>2940+10440</f>
        <v>13380</v>
      </c>
      <c r="F37" s="62"/>
      <c r="G37" s="39">
        <f t="shared" si="1"/>
        <v>13380</v>
      </c>
    </row>
    <row r="38" spans="1:7" ht="15" customHeight="1" thickBot="1">
      <c r="A38" s="80" t="s">
        <v>41</v>
      </c>
      <c r="B38" s="15"/>
      <c r="C38" s="73"/>
      <c r="D38" s="65">
        <v>1500</v>
      </c>
      <c r="E38" s="66">
        <v>12170</v>
      </c>
      <c r="F38" s="66">
        <f>1500+1500</f>
        <v>3000</v>
      </c>
      <c r="G38" s="39">
        <f t="shared" si="1"/>
        <v>16670</v>
      </c>
    </row>
    <row r="39" spans="1:7" ht="15" customHeight="1" thickBot="1">
      <c r="A39" s="80" t="s">
        <v>76</v>
      </c>
      <c r="B39" s="15"/>
      <c r="C39" s="73"/>
      <c r="D39" s="65"/>
      <c r="E39" s="66">
        <f>6040+32283.96</f>
        <v>38323.96</v>
      </c>
      <c r="F39" s="66"/>
      <c r="G39" s="39">
        <f t="shared" si="1"/>
        <v>38323.96</v>
      </c>
    </row>
    <row r="40" spans="1:7" ht="15" customHeight="1" thickBot="1">
      <c r="A40" s="80" t="s">
        <v>69</v>
      </c>
      <c r="B40" s="15"/>
      <c r="C40" s="73"/>
      <c r="D40" s="65"/>
      <c r="E40" s="66">
        <v>53000</v>
      </c>
      <c r="F40" s="66">
        <f>11947+22336</f>
        <v>34283</v>
      </c>
      <c r="G40" s="39">
        <f t="shared" si="1"/>
        <v>87283</v>
      </c>
    </row>
    <row r="41" spans="1:7" ht="15" customHeight="1" thickBot="1">
      <c r="A41" s="80" t="s">
        <v>70</v>
      </c>
      <c r="B41" s="15"/>
      <c r="C41" s="73"/>
      <c r="D41" s="65"/>
      <c r="E41" s="66">
        <v>15718.5</v>
      </c>
      <c r="F41" s="66"/>
      <c r="G41" s="39">
        <f t="shared" si="1"/>
        <v>15718.5</v>
      </c>
    </row>
    <row r="42" spans="1:7" ht="15" customHeight="1" thickBot="1">
      <c r="A42" s="80" t="s">
        <v>82</v>
      </c>
      <c r="B42" s="16"/>
      <c r="C42" s="72"/>
      <c r="D42" s="44"/>
      <c r="E42" s="63"/>
      <c r="F42" s="63">
        <f>46700+45000+15000+7500</f>
        <v>114200</v>
      </c>
      <c r="G42" s="39">
        <f t="shared" si="1"/>
        <v>114200</v>
      </c>
    </row>
    <row r="43" spans="1:7" ht="15" customHeight="1" thickBot="1">
      <c r="A43" s="83" t="s">
        <v>33</v>
      </c>
      <c r="B43" s="16"/>
      <c r="C43" s="72">
        <v>10116</v>
      </c>
      <c r="D43" s="44">
        <v>6696</v>
      </c>
      <c r="E43" s="63">
        <v>6552</v>
      </c>
      <c r="F43" s="63">
        <v>12852</v>
      </c>
      <c r="G43" s="39">
        <f t="shared" si="1"/>
        <v>36216</v>
      </c>
    </row>
    <row r="44" spans="1:7" ht="15" customHeight="1" hidden="1">
      <c r="A44" s="77" t="s">
        <v>22</v>
      </c>
      <c r="B44" s="13"/>
      <c r="C44" s="71"/>
      <c r="D44" s="42"/>
      <c r="E44" s="58"/>
      <c r="F44" s="58"/>
      <c r="G44" s="39">
        <f t="shared" si="1"/>
        <v>0</v>
      </c>
    </row>
    <row r="45" spans="1:7" ht="15" customHeight="1" hidden="1">
      <c r="A45" s="76" t="s">
        <v>23</v>
      </c>
      <c r="B45" s="7"/>
      <c r="C45" s="67"/>
      <c r="D45" s="43"/>
      <c r="E45" s="57"/>
      <c r="F45" s="57"/>
      <c r="G45" s="39">
        <f t="shared" si="1"/>
        <v>0</v>
      </c>
    </row>
    <row r="46" spans="1:7" ht="15" customHeight="1" hidden="1">
      <c r="A46" s="76" t="s">
        <v>24</v>
      </c>
      <c r="B46" s="7"/>
      <c r="C46" s="67"/>
      <c r="D46" s="43"/>
      <c r="E46" s="57"/>
      <c r="F46" s="57"/>
      <c r="G46" s="39">
        <f t="shared" si="1"/>
        <v>0</v>
      </c>
    </row>
    <row r="47" spans="1:7" ht="15" customHeight="1" hidden="1">
      <c r="A47" s="76" t="s">
        <v>25</v>
      </c>
      <c r="B47" s="7"/>
      <c r="C47" s="67"/>
      <c r="D47" s="43"/>
      <c r="E47" s="57"/>
      <c r="F47" s="57"/>
      <c r="G47" s="39">
        <f t="shared" si="1"/>
        <v>0</v>
      </c>
    </row>
    <row r="48" spans="1:7" ht="15" customHeight="1" hidden="1">
      <c r="A48" s="76" t="s">
        <v>26</v>
      </c>
      <c r="B48" s="7"/>
      <c r="C48" s="67"/>
      <c r="D48" s="43"/>
      <c r="E48" s="57"/>
      <c r="F48" s="57"/>
      <c r="G48" s="39">
        <f t="shared" si="1"/>
        <v>0</v>
      </c>
    </row>
    <row r="49" spans="1:7" ht="15" customHeight="1" hidden="1" thickBot="1">
      <c r="A49" s="80" t="s">
        <v>27</v>
      </c>
      <c r="B49" s="15"/>
      <c r="C49" s="73"/>
      <c r="D49" s="65"/>
      <c r="E49" s="66"/>
      <c r="F49" s="66"/>
      <c r="G49" s="39">
        <f t="shared" si="1"/>
        <v>0</v>
      </c>
    </row>
    <row r="50" spans="1:7" ht="15" customHeight="1">
      <c r="A50" s="77" t="s">
        <v>56</v>
      </c>
      <c r="B50" s="13"/>
      <c r="C50" s="71">
        <v>11300</v>
      </c>
      <c r="D50" s="42"/>
      <c r="E50" s="58"/>
      <c r="F50" s="58"/>
      <c r="G50" s="39">
        <f t="shared" si="1"/>
        <v>11300</v>
      </c>
    </row>
    <row r="51" spans="1:7" ht="15" customHeight="1">
      <c r="A51" s="97" t="s">
        <v>57</v>
      </c>
      <c r="B51" s="17"/>
      <c r="C51" s="74">
        <v>91536.65</v>
      </c>
      <c r="D51" s="98"/>
      <c r="E51" s="64"/>
      <c r="F51" s="64"/>
      <c r="G51" s="39">
        <f t="shared" si="1"/>
        <v>91536.65</v>
      </c>
    </row>
    <row r="52" spans="1:7" ht="15" customHeight="1">
      <c r="A52" s="97" t="s">
        <v>60</v>
      </c>
      <c r="B52" s="17"/>
      <c r="C52" s="74"/>
      <c r="D52" s="98">
        <v>71276.3</v>
      </c>
      <c r="E52" s="64"/>
      <c r="F52" s="64"/>
      <c r="G52" s="39">
        <f t="shared" si="1"/>
        <v>71276.3</v>
      </c>
    </row>
    <row r="53" spans="1:7" ht="15" customHeight="1">
      <c r="A53" s="97" t="s">
        <v>61</v>
      </c>
      <c r="B53" s="17"/>
      <c r="C53" s="74"/>
      <c r="D53" s="98">
        <v>99121.24</v>
      </c>
      <c r="E53" s="64"/>
      <c r="F53" s="64"/>
      <c r="G53" s="39">
        <f t="shared" si="1"/>
        <v>99121.24</v>
      </c>
    </row>
    <row r="54" spans="1:7" ht="15" customHeight="1">
      <c r="A54" s="97" t="s">
        <v>67</v>
      </c>
      <c r="B54" s="17"/>
      <c r="C54" s="74"/>
      <c r="D54" s="98"/>
      <c r="E54" s="64">
        <v>17800</v>
      </c>
      <c r="F54" s="64"/>
      <c r="G54" s="39">
        <f t="shared" si="1"/>
        <v>17800</v>
      </c>
    </row>
    <row r="55" spans="1:7" ht="15" customHeight="1">
      <c r="A55" s="97" t="s">
        <v>71</v>
      </c>
      <c r="B55" s="17"/>
      <c r="C55" s="74"/>
      <c r="D55" s="98"/>
      <c r="E55" s="64">
        <v>21680</v>
      </c>
      <c r="F55" s="64">
        <v>12820</v>
      </c>
      <c r="G55" s="39">
        <f t="shared" si="1"/>
        <v>34500</v>
      </c>
    </row>
    <row r="56" spans="1:7" ht="15" customHeight="1">
      <c r="A56" s="97" t="s">
        <v>75</v>
      </c>
      <c r="B56" s="17"/>
      <c r="C56" s="74"/>
      <c r="D56" s="98"/>
      <c r="E56" s="64">
        <v>9004</v>
      </c>
      <c r="F56" s="64"/>
      <c r="G56" s="39">
        <f t="shared" si="1"/>
        <v>9004</v>
      </c>
    </row>
    <row r="57" spans="1:7" ht="15" customHeight="1">
      <c r="A57" s="97" t="s">
        <v>77</v>
      </c>
      <c r="B57" s="17"/>
      <c r="C57" s="74"/>
      <c r="D57" s="98"/>
      <c r="E57" s="64">
        <f>28219.25+4350</f>
        <v>32569.25</v>
      </c>
      <c r="F57" s="64">
        <v>62000</v>
      </c>
      <c r="G57" s="39">
        <f t="shared" si="1"/>
        <v>94569.25</v>
      </c>
    </row>
    <row r="58" spans="1:7" ht="15" customHeight="1">
      <c r="A58" s="97" t="s">
        <v>68</v>
      </c>
      <c r="B58" s="17"/>
      <c r="C58" s="74"/>
      <c r="D58" s="98"/>
      <c r="E58" s="64">
        <f>2800+2700</f>
        <v>5500</v>
      </c>
      <c r="F58" s="64"/>
      <c r="G58" s="39">
        <f t="shared" si="1"/>
        <v>5500</v>
      </c>
    </row>
    <row r="59" spans="1:7" ht="15" customHeight="1">
      <c r="A59" s="97" t="s">
        <v>80</v>
      </c>
      <c r="B59" s="17"/>
      <c r="C59" s="74"/>
      <c r="D59" s="98">
        <v>3507</v>
      </c>
      <c r="E59" s="64"/>
      <c r="F59" s="64"/>
      <c r="G59" s="39">
        <f t="shared" si="1"/>
        <v>3507</v>
      </c>
    </row>
    <row r="60" spans="1:7" ht="15" customHeight="1">
      <c r="A60" s="97" t="s">
        <v>73</v>
      </c>
      <c r="B60" s="17"/>
      <c r="C60" s="74"/>
      <c r="D60" s="98"/>
      <c r="E60" s="64">
        <f>5390+30930.5</f>
        <v>36320.5</v>
      </c>
      <c r="F60" s="64"/>
      <c r="G60" s="39">
        <f t="shared" si="1"/>
        <v>36320.5</v>
      </c>
    </row>
    <row r="61" spans="1:7" ht="15" customHeight="1">
      <c r="A61" s="76" t="s">
        <v>65</v>
      </c>
      <c r="B61" s="7"/>
      <c r="C61" s="67"/>
      <c r="D61" s="43">
        <v>3300</v>
      </c>
      <c r="E61" s="57"/>
      <c r="F61" s="57"/>
      <c r="G61" s="39">
        <f t="shared" si="1"/>
        <v>3300</v>
      </c>
    </row>
    <row r="62" spans="1:7" ht="15" customHeight="1" thickBot="1">
      <c r="A62" s="83" t="s">
        <v>84</v>
      </c>
      <c r="B62" s="87"/>
      <c r="C62" s="88">
        <v>1700</v>
      </c>
      <c r="D62" s="89"/>
      <c r="E62" s="90"/>
      <c r="F62" s="90">
        <v>10500</v>
      </c>
      <c r="G62" s="39">
        <f t="shared" si="1"/>
        <v>12200</v>
      </c>
    </row>
    <row r="63" spans="1:7" ht="15" customHeight="1">
      <c r="A63" s="86" t="s">
        <v>58</v>
      </c>
      <c r="B63" s="17"/>
      <c r="C63" s="74">
        <v>3045</v>
      </c>
      <c r="D63" s="74"/>
      <c r="E63" s="64">
        <v>450</v>
      </c>
      <c r="F63" s="64"/>
      <c r="G63" s="39">
        <f t="shared" si="1"/>
        <v>3495</v>
      </c>
    </row>
    <row r="64" spans="1:7" ht="15" customHeight="1">
      <c r="A64" s="99" t="s">
        <v>74</v>
      </c>
      <c r="B64" s="17"/>
      <c r="C64" s="74"/>
      <c r="D64" s="74">
        <v>15070</v>
      </c>
      <c r="E64" s="64"/>
      <c r="F64" s="64"/>
      <c r="G64" s="39">
        <f t="shared" si="1"/>
        <v>15070</v>
      </c>
    </row>
    <row r="65" spans="1:7" ht="15" customHeight="1">
      <c r="A65" s="81" t="s">
        <v>37</v>
      </c>
      <c r="B65" s="18"/>
      <c r="C65" s="67">
        <v>7500</v>
      </c>
      <c r="D65" s="43">
        <v>7500</v>
      </c>
      <c r="E65" s="57">
        <v>5000</v>
      </c>
      <c r="F65" s="57">
        <v>10000</v>
      </c>
      <c r="G65" s="39">
        <f t="shared" si="1"/>
        <v>30000</v>
      </c>
    </row>
    <row r="66" spans="1:7" ht="15" customHeight="1">
      <c r="A66" s="81" t="s">
        <v>46</v>
      </c>
      <c r="B66" s="100"/>
      <c r="C66" s="69"/>
      <c r="D66" s="59"/>
      <c r="E66" s="60"/>
      <c r="F66" s="60"/>
      <c r="G66" s="39">
        <f t="shared" si="1"/>
        <v>0</v>
      </c>
    </row>
    <row r="67" spans="1:7" ht="15" customHeight="1">
      <c r="A67" s="81" t="s">
        <v>64</v>
      </c>
      <c r="B67" s="100"/>
      <c r="C67" s="69"/>
      <c r="D67" s="59">
        <v>8600</v>
      </c>
      <c r="E67" s="60"/>
      <c r="F67" s="60"/>
      <c r="G67" s="39">
        <f t="shared" si="1"/>
        <v>8600</v>
      </c>
    </row>
    <row r="68" spans="1:7" ht="15" customHeight="1">
      <c r="A68" s="81" t="s">
        <v>50</v>
      </c>
      <c r="B68" s="100"/>
      <c r="C68" s="69"/>
      <c r="D68" s="59"/>
      <c r="E68" s="60"/>
      <c r="F68" s="60"/>
      <c r="G68" s="39">
        <f t="shared" si="1"/>
        <v>0</v>
      </c>
    </row>
    <row r="69" spans="1:7" ht="15" customHeight="1">
      <c r="A69" s="81" t="s">
        <v>47</v>
      </c>
      <c r="B69" s="100"/>
      <c r="C69" s="69"/>
      <c r="D69" s="59">
        <v>900</v>
      </c>
      <c r="E69" s="60"/>
      <c r="F69" s="60"/>
      <c r="G69" s="39">
        <f t="shared" si="1"/>
        <v>900</v>
      </c>
    </row>
    <row r="70" spans="1:7" ht="15" customHeight="1" thickBot="1">
      <c r="A70" s="76" t="s">
        <v>59</v>
      </c>
      <c r="B70" s="12"/>
      <c r="C70" s="69">
        <v>6837.85</v>
      </c>
      <c r="D70" s="59">
        <v>8759.93</v>
      </c>
      <c r="E70" s="60">
        <v>8474.61</v>
      </c>
      <c r="F70" s="60">
        <v>8393</v>
      </c>
      <c r="G70" s="39">
        <f t="shared" si="1"/>
        <v>32465.39</v>
      </c>
    </row>
    <row r="71" spans="1:7" ht="15" customHeight="1" thickBot="1">
      <c r="A71" s="82" t="s">
        <v>42</v>
      </c>
      <c r="B71" s="26"/>
      <c r="C71" s="68">
        <v>5499.09</v>
      </c>
      <c r="D71" s="61">
        <v>4456.56</v>
      </c>
      <c r="E71" s="62">
        <v>1204.3</v>
      </c>
      <c r="F71" s="62">
        <v>4457.19</v>
      </c>
      <c r="G71" s="39">
        <f t="shared" si="1"/>
        <v>15617.14</v>
      </c>
    </row>
    <row r="72" spans="1:7" ht="15" customHeight="1">
      <c r="A72" s="77" t="s">
        <v>63</v>
      </c>
      <c r="B72" s="13"/>
      <c r="C72" s="71"/>
      <c r="D72" s="42">
        <v>26263</v>
      </c>
      <c r="E72" s="58">
        <v>1800</v>
      </c>
      <c r="F72" s="58"/>
      <c r="G72" s="39">
        <f t="shared" si="1"/>
        <v>28063</v>
      </c>
    </row>
    <row r="73" spans="1:7" ht="15" customHeight="1">
      <c r="A73" s="97" t="s">
        <v>45</v>
      </c>
      <c r="B73" s="17"/>
      <c r="C73" s="74"/>
      <c r="D73" s="98"/>
      <c r="E73" s="64"/>
      <c r="F73" s="64"/>
      <c r="G73" s="39">
        <f t="shared" si="1"/>
        <v>0</v>
      </c>
    </row>
    <row r="74" spans="1:7" ht="15" customHeight="1">
      <c r="A74" s="76" t="s">
        <v>78</v>
      </c>
      <c r="B74" s="7"/>
      <c r="C74" s="67"/>
      <c r="D74" s="43"/>
      <c r="E74" s="57">
        <v>2370</v>
      </c>
      <c r="F74" s="57"/>
      <c r="G74" s="39">
        <f t="shared" si="1"/>
        <v>2370</v>
      </c>
    </row>
    <row r="75" spans="1:7" ht="15" customHeight="1" thickBot="1">
      <c r="A75" s="79" t="s">
        <v>16</v>
      </c>
      <c r="B75" s="16"/>
      <c r="C75" s="72">
        <v>3900</v>
      </c>
      <c r="D75" s="44"/>
      <c r="E75" s="63"/>
      <c r="F75" s="63"/>
      <c r="G75" s="39">
        <f t="shared" si="1"/>
        <v>3900</v>
      </c>
    </row>
    <row r="76" spans="1:7" ht="15" customHeight="1">
      <c r="A76" s="77" t="s">
        <v>29</v>
      </c>
      <c r="B76" s="13"/>
      <c r="C76" s="42"/>
      <c r="D76" s="42">
        <v>3360</v>
      </c>
      <c r="E76" s="58"/>
      <c r="F76" s="42"/>
      <c r="G76" s="39">
        <f t="shared" si="1"/>
        <v>3360</v>
      </c>
    </row>
    <row r="77" spans="1:7" ht="15" customHeight="1">
      <c r="A77" s="76" t="s">
        <v>30</v>
      </c>
      <c r="B77" s="7"/>
      <c r="C77" s="67">
        <v>600</v>
      </c>
      <c r="D77" s="43">
        <v>1500</v>
      </c>
      <c r="E77" s="57">
        <v>2100</v>
      </c>
      <c r="F77" s="43">
        <v>2400</v>
      </c>
      <c r="G77" s="39">
        <f t="shared" si="1"/>
        <v>6600</v>
      </c>
    </row>
    <row r="78" spans="1:8" ht="15" customHeight="1" thickBot="1">
      <c r="A78" s="84" t="s">
        <v>39</v>
      </c>
      <c r="B78" s="85"/>
      <c r="C78" s="66"/>
      <c r="D78" s="65"/>
      <c r="E78" s="73"/>
      <c r="F78" s="73"/>
      <c r="G78" s="39">
        <f t="shared" si="1"/>
        <v>0</v>
      </c>
      <c r="H78" s="14"/>
    </row>
    <row r="79" spans="1:8" ht="15" customHeight="1">
      <c r="A79" s="105" t="s">
        <v>85</v>
      </c>
      <c r="B79" s="106"/>
      <c r="C79" s="63"/>
      <c r="D79" s="44"/>
      <c r="E79" s="72"/>
      <c r="F79" s="72">
        <v>9000</v>
      </c>
      <c r="G79" s="39">
        <f t="shared" si="1"/>
        <v>9000</v>
      </c>
      <c r="H79" s="14"/>
    </row>
    <row r="80" spans="1:8" ht="15" customHeight="1">
      <c r="A80" s="105" t="s">
        <v>62</v>
      </c>
      <c r="B80" s="106"/>
      <c r="C80" s="63">
        <v>3500</v>
      </c>
      <c r="D80" s="44">
        <v>8000</v>
      </c>
      <c r="E80" s="72"/>
      <c r="F80" s="72">
        <f>26000+128300.18</f>
        <v>154300.18</v>
      </c>
      <c r="G80" s="39">
        <f t="shared" si="1"/>
        <v>165800.18</v>
      </c>
      <c r="H80" s="14"/>
    </row>
    <row r="81" spans="1:7" ht="15" customHeight="1" thickBot="1">
      <c r="A81" s="94" t="s">
        <v>38</v>
      </c>
      <c r="B81" s="95"/>
      <c r="C81" s="96">
        <v>25365</v>
      </c>
      <c r="D81" s="96">
        <v>28197.9</v>
      </c>
      <c r="E81" s="96">
        <v>26334.11</v>
      </c>
      <c r="F81" s="96">
        <v>11615.82</v>
      </c>
      <c r="G81" s="39">
        <f t="shared" si="1"/>
        <v>91512.83000000002</v>
      </c>
    </row>
    <row r="82" spans="1:7" ht="20.25" customHeight="1">
      <c r="A82" s="33" t="s">
        <v>13</v>
      </c>
      <c r="B82" s="34"/>
      <c r="C82" s="40">
        <f>C6-C22</f>
        <v>231113.03000000003</v>
      </c>
      <c r="D82" s="40">
        <f>D6-D22</f>
        <v>46168.01000000001</v>
      </c>
      <c r="E82" s="40">
        <f>E6-E22</f>
        <v>32532.66000000015</v>
      </c>
      <c r="F82" s="40">
        <f>F6-F22</f>
        <v>110759.51999999979</v>
      </c>
      <c r="G82" s="39">
        <f t="shared" si="1"/>
        <v>420573.22</v>
      </c>
    </row>
    <row r="83" spans="1:8" ht="19.5" customHeight="1" thickBot="1">
      <c r="A83" s="31" t="s">
        <v>14</v>
      </c>
      <c r="B83" s="35">
        <v>547444.63</v>
      </c>
      <c r="C83" s="41">
        <f>C82+B83</f>
        <v>778557.66</v>
      </c>
      <c r="D83" s="41">
        <f>D82+C83</f>
        <v>824725.67</v>
      </c>
      <c r="E83" s="41">
        <f>E82+D83</f>
        <v>857258.3300000002</v>
      </c>
      <c r="F83" s="41">
        <f>F82+E83</f>
        <v>968017.85</v>
      </c>
      <c r="G83" s="41">
        <f>B83+G82</f>
        <v>968017.85</v>
      </c>
      <c r="H83" s="32"/>
    </row>
    <row r="84" spans="1:9" ht="12.75">
      <c r="A84" s="19"/>
      <c r="B84" s="20"/>
      <c r="C84" s="20"/>
      <c r="D84" s="21"/>
      <c r="E84" s="21"/>
      <c r="F84" s="21"/>
      <c r="G84" s="21"/>
      <c r="I84" s="14"/>
    </row>
    <row r="85" spans="1:8" ht="12.75">
      <c r="A85" s="19"/>
      <c r="B85" s="20"/>
      <c r="C85" s="70"/>
      <c r="D85" s="21"/>
      <c r="F85" s="21"/>
      <c r="G85" s="22"/>
      <c r="H85" s="14"/>
    </row>
    <row r="86" spans="2:8" ht="12.75">
      <c r="B86" t="s">
        <v>7</v>
      </c>
      <c r="C86" s="14"/>
      <c r="D86" s="21"/>
      <c r="E86" s="14"/>
      <c r="F86" s="14"/>
      <c r="G86" s="22"/>
      <c r="H86" s="14"/>
    </row>
    <row r="87" spans="3:7" ht="12.75">
      <c r="C87" s="23"/>
      <c r="G87" s="22"/>
    </row>
    <row r="89" ht="12.75">
      <c r="C89" s="14"/>
    </row>
  </sheetData>
  <sheetProtection/>
  <mergeCells count="1">
    <mergeCell ref="A1:G1"/>
  </mergeCells>
  <printOptions/>
  <pageMargins left="0.2362204724409449" right="0.15748031496062992" top="0.15748031496062992" bottom="0.5118110236220472" header="0.1968503937007874" footer="0.5118110236220472"/>
  <pageSetup fitToHeight="4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7.7109375" style="0" customWidth="1"/>
    <col min="2" max="2" width="11.28125" style="0" customWidth="1"/>
    <col min="3" max="3" width="11.28125" style="0" bestFit="1" customWidth="1"/>
    <col min="4" max="5" width="11.8515625" style="0" bestFit="1" customWidth="1"/>
    <col min="6" max="6" width="11.57421875" style="0" customWidth="1"/>
    <col min="7" max="7" width="12.57421875" style="0" customWidth="1"/>
    <col min="9" max="9" width="11.8515625" style="0" customWidth="1"/>
  </cols>
  <sheetData>
    <row r="1" spans="1:7" ht="60" customHeight="1">
      <c r="A1" s="185" t="s">
        <v>129</v>
      </c>
      <c r="B1" s="185"/>
      <c r="C1" s="185"/>
      <c r="D1" s="185"/>
      <c r="E1" s="185"/>
      <c r="F1" s="185"/>
      <c r="G1" s="185"/>
    </row>
    <row r="2" spans="1:7" ht="24.75" customHeight="1">
      <c r="A2" s="159"/>
      <c r="B2" s="159"/>
      <c r="C2" s="159"/>
      <c r="D2" s="159"/>
      <c r="E2" s="159"/>
      <c r="F2" s="159"/>
      <c r="G2" s="159"/>
    </row>
    <row r="3" spans="1:7" ht="16.5" customHeight="1">
      <c r="A3" s="185" t="s">
        <v>94</v>
      </c>
      <c r="B3" s="185"/>
      <c r="C3" s="185"/>
      <c r="D3" s="185"/>
      <c r="E3" s="185"/>
      <c r="F3" s="185"/>
      <c r="G3" s="185"/>
    </row>
    <row r="4" spans="1:5" ht="16.5" customHeight="1">
      <c r="A4" s="1"/>
      <c r="B4" s="1"/>
      <c r="C4" s="1"/>
      <c r="D4" s="1"/>
      <c r="E4" s="1"/>
    </row>
    <row r="5" spans="1:5" ht="12.75">
      <c r="A5" t="s">
        <v>0</v>
      </c>
      <c r="B5" s="1"/>
      <c r="C5" s="1"/>
      <c r="D5" s="1"/>
      <c r="E5" s="1"/>
    </row>
    <row r="6" ht="5.25" customHeight="1" thickBot="1"/>
    <row r="7" spans="1:7" s="3" customFormat="1" ht="27" customHeight="1">
      <c r="A7" s="2"/>
      <c r="B7" s="30" t="s">
        <v>15</v>
      </c>
      <c r="C7" s="162" t="s">
        <v>8</v>
      </c>
      <c r="D7" s="162" t="s">
        <v>9</v>
      </c>
      <c r="E7" s="163" t="s">
        <v>10</v>
      </c>
      <c r="F7" s="163" t="s">
        <v>11</v>
      </c>
      <c r="G7" s="164" t="s">
        <v>1</v>
      </c>
    </row>
    <row r="8" spans="1:7" s="3" customFormat="1" ht="22.5" customHeight="1">
      <c r="A8" s="165" t="s">
        <v>2</v>
      </c>
      <c r="B8" s="166"/>
      <c r="C8" s="167">
        <f>C9</f>
        <v>163703.46</v>
      </c>
      <c r="D8" s="167">
        <f>D9</f>
        <v>169136.41</v>
      </c>
      <c r="E8" s="167">
        <v>182669.8</v>
      </c>
      <c r="F8" s="167">
        <v>267254.74</v>
      </c>
      <c r="G8" s="168">
        <f>C8+D8+E8+F8</f>
        <v>782764.4099999999</v>
      </c>
    </row>
    <row r="9" spans="1:7" ht="16.5" customHeight="1">
      <c r="A9" s="4" t="s">
        <v>18</v>
      </c>
      <c r="B9" s="5"/>
      <c r="C9" s="169">
        <v>163703.46</v>
      </c>
      <c r="D9" s="169">
        <f>D10+D11+D12</f>
        <v>169136.41</v>
      </c>
      <c r="E9" s="169">
        <f>E10+E11+E12</f>
        <v>182669.8</v>
      </c>
      <c r="F9" s="169">
        <f>F10+F11+F12</f>
        <v>267254.74</v>
      </c>
      <c r="G9" s="172">
        <f>SUM(C9:F9)</f>
        <v>782764.4099999999</v>
      </c>
    </row>
    <row r="10" spans="1:7" ht="15.75" customHeight="1">
      <c r="A10" s="6" t="s">
        <v>19</v>
      </c>
      <c r="B10" s="7"/>
      <c r="C10" s="170">
        <v>162208.49</v>
      </c>
      <c r="D10" s="170">
        <v>167099.5</v>
      </c>
      <c r="E10" s="171">
        <v>179398.24</v>
      </c>
      <c r="F10" s="170">
        <v>256681.92</v>
      </c>
      <c r="G10" s="172">
        <f>SUM(C10:F10)</f>
        <v>765388.15</v>
      </c>
    </row>
    <row r="11" spans="1:9" ht="25.5" customHeight="1">
      <c r="A11" s="173" t="s">
        <v>53</v>
      </c>
      <c r="B11" s="7"/>
      <c r="C11" s="170">
        <v>927.49</v>
      </c>
      <c r="D11" s="170">
        <v>185.26</v>
      </c>
      <c r="E11" s="171">
        <v>1617.82</v>
      </c>
      <c r="F11" s="170">
        <v>9302.96</v>
      </c>
      <c r="G11" s="172">
        <f>SUM(C11:F11)</f>
        <v>12033.529999999999</v>
      </c>
      <c r="I11" s="14"/>
    </row>
    <row r="12" spans="1:9" ht="25.5" customHeight="1">
      <c r="A12" s="173" t="s">
        <v>103</v>
      </c>
      <c r="B12" s="7"/>
      <c r="C12" s="170">
        <v>567.48</v>
      </c>
      <c r="D12" s="170">
        <v>1851.65</v>
      </c>
      <c r="E12" s="171">
        <v>1653.74</v>
      </c>
      <c r="F12" s="170">
        <v>1269.86</v>
      </c>
      <c r="G12" s="172">
        <f>SUM(C12:F12)</f>
        <v>5342.73</v>
      </c>
      <c r="I12" s="14"/>
    </row>
    <row r="13" spans="1:7" ht="23.25" customHeight="1">
      <c r="A13" s="165" t="s">
        <v>3</v>
      </c>
      <c r="B13" s="25"/>
      <c r="C13" s="166">
        <v>0</v>
      </c>
      <c r="D13" s="166">
        <v>0</v>
      </c>
      <c r="E13" s="166">
        <v>0</v>
      </c>
      <c r="F13" s="166">
        <v>0</v>
      </c>
      <c r="G13" s="184">
        <v>0</v>
      </c>
    </row>
    <row r="14" spans="1:7" ht="20.25" customHeight="1" hidden="1">
      <c r="A14" s="174" t="s">
        <v>13</v>
      </c>
      <c r="B14" s="107"/>
      <c r="C14" s="175">
        <f>C8-C13</f>
        <v>163703.46</v>
      </c>
      <c r="D14" s="175">
        <f>D8-D13</f>
        <v>169136.41</v>
      </c>
      <c r="E14" s="175">
        <f>E8-E13</f>
        <v>182669.8</v>
      </c>
      <c r="F14" s="175">
        <f>F8-F13</f>
        <v>267254.74</v>
      </c>
      <c r="G14" s="176">
        <f>C14+D14+E14+F14</f>
        <v>782764.4099999999</v>
      </c>
    </row>
    <row r="15" spans="1:8" ht="31.5" customHeight="1" thickBot="1">
      <c r="A15" s="177" t="s">
        <v>95</v>
      </c>
      <c r="B15" s="178">
        <v>888180.56</v>
      </c>
      <c r="C15" s="178">
        <f>C14+B15</f>
        <v>1051884.02</v>
      </c>
      <c r="D15" s="178">
        <f>D14+C15</f>
        <v>1221020.43</v>
      </c>
      <c r="E15" s="178">
        <f>D15+E8</f>
        <v>1403690.23</v>
      </c>
      <c r="F15" s="178">
        <f>F8+E15</f>
        <v>1670944.97</v>
      </c>
      <c r="G15" s="179">
        <f>B15+G14</f>
        <v>1670944.97</v>
      </c>
      <c r="H15" s="32"/>
    </row>
    <row r="16" spans="1:9" ht="12.75">
      <c r="A16" s="19"/>
      <c r="B16" s="20"/>
      <c r="C16" s="20"/>
      <c r="D16" s="21"/>
      <c r="E16" s="21"/>
      <c r="F16" s="21"/>
      <c r="G16" s="21"/>
      <c r="I16" s="14"/>
    </row>
    <row r="17" spans="1:8" ht="12.75">
      <c r="A17" s="19"/>
      <c r="B17" s="20"/>
      <c r="C17" s="70"/>
      <c r="D17" s="21"/>
      <c r="F17" s="21"/>
      <c r="G17" s="22"/>
      <c r="H17" s="14"/>
    </row>
    <row r="18" spans="2:8" ht="12.75">
      <c r="B18" t="s">
        <v>7</v>
      </c>
      <c r="C18" s="14"/>
      <c r="D18" s="21"/>
      <c r="E18" s="14"/>
      <c r="F18" s="14"/>
      <c r="G18" s="22"/>
      <c r="H18" s="14"/>
    </row>
    <row r="19" spans="3:7" ht="12.75">
      <c r="C19" s="23"/>
      <c r="G19" s="22"/>
    </row>
    <row r="21" ht="12.75">
      <c r="C21" s="14"/>
    </row>
  </sheetData>
  <sheetProtection/>
  <mergeCells count="2">
    <mergeCell ref="A1:G1"/>
    <mergeCell ref="A3:G3"/>
  </mergeCells>
  <printOptions/>
  <pageMargins left="0.25" right="0.2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7" sqref="A7:I15"/>
    </sheetView>
  </sheetViews>
  <sheetFormatPr defaultColWidth="9.140625" defaultRowHeight="12.75"/>
  <cols>
    <col min="1" max="1" width="27.7109375" style="0" customWidth="1"/>
    <col min="2" max="2" width="11.28125" style="0" customWidth="1"/>
    <col min="3" max="3" width="11.28125" style="0" hidden="1" customWidth="1"/>
    <col min="4" max="5" width="11.8515625" style="0" hidden="1" customWidth="1"/>
    <col min="6" max="6" width="11.57421875" style="0" hidden="1" customWidth="1"/>
    <col min="7" max="7" width="23.7109375" style="0" bestFit="1" customWidth="1"/>
    <col min="8" max="8" width="32.7109375" style="0" customWidth="1"/>
    <col min="9" max="9" width="12.57421875" style="0" customWidth="1"/>
    <col min="10" max="10" width="11.8515625" style="0" customWidth="1"/>
  </cols>
  <sheetData>
    <row r="1" spans="1:8" ht="60" customHeight="1">
      <c r="A1" s="185" t="s">
        <v>129</v>
      </c>
      <c r="B1" s="185"/>
      <c r="C1" s="185"/>
      <c r="D1" s="185"/>
      <c r="E1" s="185"/>
      <c r="F1" s="185"/>
      <c r="G1" s="185"/>
      <c r="H1" s="185"/>
    </row>
    <row r="2" spans="1:8" ht="24.75" customHeight="1">
      <c r="A2" s="159"/>
      <c r="B2" s="159"/>
      <c r="C2" s="159"/>
      <c r="D2" s="159"/>
      <c r="E2" s="159"/>
      <c r="F2" s="159"/>
      <c r="G2" s="159"/>
      <c r="H2" s="159"/>
    </row>
    <row r="3" spans="1:8" ht="16.5" customHeight="1">
      <c r="A3" s="185" t="s">
        <v>94</v>
      </c>
      <c r="B3" s="185"/>
      <c r="C3" s="185"/>
      <c r="D3" s="185"/>
      <c r="E3" s="185"/>
      <c r="F3" s="185"/>
      <c r="G3" s="185"/>
      <c r="H3" s="185"/>
    </row>
    <row r="4" spans="1:5" ht="16.5" customHeight="1">
      <c r="A4" s="1"/>
      <c r="B4" s="1"/>
      <c r="C4" s="1"/>
      <c r="D4" s="1"/>
      <c r="E4" s="1"/>
    </row>
    <row r="5" spans="1:5" ht="12.75">
      <c r="A5" t="s">
        <v>0</v>
      </c>
      <c r="B5" s="1"/>
      <c r="C5" s="1"/>
      <c r="D5" s="1"/>
      <c r="E5" s="1"/>
    </row>
    <row r="6" ht="5.25" customHeight="1" thickBot="1"/>
    <row r="7" spans="1:9" s="3" customFormat="1" ht="27" customHeight="1">
      <c r="A7" s="2"/>
      <c r="B7" s="30" t="s">
        <v>133</v>
      </c>
      <c r="C7" s="162" t="s">
        <v>8</v>
      </c>
      <c r="D7" s="162" t="s">
        <v>9</v>
      </c>
      <c r="E7" s="163" t="s">
        <v>10</v>
      </c>
      <c r="F7" s="163" t="s">
        <v>11</v>
      </c>
      <c r="G7" s="186" t="s">
        <v>131</v>
      </c>
      <c r="H7" s="186" t="s">
        <v>130</v>
      </c>
      <c r="I7" s="194" t="s">
        <v>132</v>
      </c>
    </row>
    <row r="8" spans="1:9" s="3" customFormat="1" ht="22.5" customHeight="1">
      <c r="A8" s="165" t="s">
        <v>2</v>
      </c>
      <c r="B8" s="166"/>
      <c r="C8" s="167">
        <f>C9</f>
        <v>163703.46</v>
      </c>
      <c r="D8" s="167">
        <f>D9</f>
        <v>169136.41</v>
      </c>
      <c r="E8" s="167">
        <v>182669.8</v>
      </c>
      <c r="F8" s="167">
        <v>267254.74</v>
      </c>
      <c r="G8" s="187">
        <v>726112</v>
      </c>
      <c r="H8" s="187">
        <f>C8+D8+E8+F8</f>
        <v>782764.4099999999</v>
      </c>
      <c r="I8" s="195"/>
    </row>
    <row r="9" spans="1:9" ht="16.5" customHeight="1" hidden="1">
      <c r="A9" s="4" t="s">
        <v>18</v>
      </c>
      <c r="B9" s="5"/>
      <c r="C9" s="169">
        <v>163703.46</v>
      </c>
      <c r="D9" s="169">
        <f>D10+D11+D12</f>
        <v>169136.41</v>
      </c>
      <c r="E9" s="169">
        <f>E10+E11+E12</f>
        <v>182669.8</v>
      </c>
      <c r="F9" s="169">
        <f>F10+F11+F12</f>
        <v>267254.74</v>
      </c>
      <c r="G9" s="188"/>
      <c r="H9" s="188">
        <f>SUM(C9:F9)</f>
        <v>782764.4099999999</v>
      </c>
      <c r="I9" s="196"/>
    </row>
    <row r="10" spans="1:9" ht="15.75" customHeight="1" hidden="1">
      <c r="A10" s="6" t="s">
        <v>19</v>
      </c>
      <c r="B10" s="7"/>
      <c r="C10" s="170">
        <v>162208.49</v>
      </c>
      <c r="D10" s="170">
        <v>167099.5</v>
      </c>
      <c r="E10" s="171">
        <v>179398.24</v>
      </c>
      <c r="F10" s="170">
        <v>256681.92</v>
      </c>
      <c r="G10" s="189"/>
      <c r="H10" s="188">
        <f>SUM(C10:F10)</f>
        <v>765388.15</v>
      </c>
      <c r="I10" s="196"/>
    </row>
    <row r="11" spans="1:10" ht="25.5" customHeight="1" hidden="1">
      <c r="A11" s="173" t="s">
        <v>53</v>
      </c>
      <c r="B11" s="7"/>
      <c r="C11" s="170">
        <v>927.49</v>
      </c>
      <c r="D11" s="170">
        <v>185.26</v>
      </c>
      <c r="E11" s="171">
        <v>1617.82</v>
      </c>
      <c r="F11" s="170">
        <v>9302.96</v>
      </c>
      <c r="G11" s="189"/>
      <c r="H11" s="188">
        <f>SUM(C11:F11)</f>
        <v>12033.529999999999</v>
      </c>
      <c r="I11" s="196"/>
      <c r="J11" s="14"/>
    </row>
    <row r="12" spans="1:10" ht="25.5" customHeight="1" hidden="1">
      <c r="A12" s="173" t="s">
        <v>103</v>
      </c>
      <c r="B12" s="7"/>
      <c r="C12" s="170">
        <v>567.48</v>
      </c>
      <c r="D12" s="170">
        <v>1851.65</v>
      </c>
      <c r="E12" s="171">
        <v>1653.74</v>
      </c>
      <c r="F12" s="170">
        <v>1269.86</v>
      </c>
      <c r="G12" s="189"/>
      <c r="H12" s="188">
        <f>SUM(C12:F12)</f>
        <v>5342.73</v>
      </c>
      <c r="I12" s="196"/>
      <c r="J12" s="14"/>
    </row>
    <row r="13" spans="1:9" ht="23.25" customHeight="1" thickBot="1">
      <c r="A13" s="165" t="s">
        <v>3</v>
      </c>
      <c r="B13" s="25"/>
      <c r="C13" s="166">
        <v>0</v>
      </c>
      <c r="D13" s="166">
        <v>0</v>
      </c>
      <c r="E13" s="166">
        <v>0</v>
      </c>
      <c r="F13" s="166">
        <v>0</v>
      </c>
      <c r="G13" s="190">
        <v>0</v>
      </c>
      <c r="H13" s="190">
        <v>0</v>
      </c>
      <c r="I13" s="196"/>
    </row>
    <row r="14" spans="1:9" ht="20.25" customHeight="1">
      <c r="A14" s="174" t="s">
        <v>13</v>
      </c>
      <c r="B14" s="107"/>
      <c r="C14" s="175">
        <f>C8-C13</f>
        <v>163703.46</v>
      </c>
      <c r="D14" s="175">
        <f>D8-D13</f>
        <v>169136.41</v>
      </c>
      <c r="E14" s="175">
        <f>E8-E13</f>
        <v>182669.8</v>
      </c>
      <c r="F14" s="175">
        <f>F8-F13</f>
        <v>267254.74</v>
      </c>
      <c r="G14" s="191">
        <f>G8</f>
        <v>726112</v>
      </c>
      <c r="H14" s="193">
        <f>C14+D14+E14+F14</f>
        <v>782764.4099999999</v>
      </c>
      <c r="I14" s="196"/>
    </row>
    <row r="15" spans="1:9" ht="31.5" customHeight="1" thickBot="1">
      <c r="A15" s="177" t="s">
        <v>95</v>
      </c>
      <c r="B15" s="178">
        <v>888180.56</v>
      </c>
      <c r="C15" s="178">
        <f>C14+B15</f>
        <v>1051884.02</v>
      </c>
      <c r="D15" s="178">
        <f>D14+C15</f>
        <v>1221020.43</v>
      </c>
      <c r="E15" s="178">
        <f>D15+E8</f>
        <v>1403690.23</v>
      </c>
      <c r="F15" s="178">
        <f>F8+E15</f>
        <v>1670944.97</v>
      </c>
      <c r="G15" s="192"/>
      <c r="H15" s="192"/>
      <c r="I15" s="197">
        <f>B15+H14</f>
        <v>1670944.97</v>
      </c>
    </row>
    <row r="16" spans="1:10" ht="12.75">
      <c r="A16" s="19"/>
      <c r="B16" s="20"/>
      <c r="C16" s="20"/>
      <c r="D16" s="21"/>
      <c r="E16" s="21"/>
      <c r="F16" s="21"/>
      <c r="G16" s="21"/>
      <c r="H16" s="21"/>
      <c r="J16" s="14"/>
    </row>
    <row r="17" spans="1:9" ht="12.75">
      <c r="A17" s="19"/>
      <c r="B17" s="20"/>
      <c r="C17" s="70"/>
      <c r="D17" s="21"/>
      <c r="F17" s="21"/>
      <c r="G17" s="21"/>
      <c r="H17" s="22"/>
      <c r="I17" s="14"/>
    </row>
    <row r="18" spans="2:9" ht="12.75">
      <c r="B18" t="s">
        <v>7</v>
      </c>
      <c r="C18" s="14"/>
      <c r="D18" s="21"/>
      <c r="E18" s="14"/>
      <c r="F18" s="14"/>
      <c r="G18" s="14"/>
      <c r="H18" s="22"/>
      <c r="I18" s="14"/>
    </row>
    <row r="19" spans="3:8" ht="12.75">
      <c r="C19" s="23"/>
      <c r="H19" s="22"/>
    </row>
    <row r="21" ht="12.75">
      <c r="C21" s="14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 Kropotkina261</cp:lastModifiedBy>
  <cp:lastPrinted>2017-01-22T08:38:35Z</cp:lastPrinted>
  <dcterms:created xsi:type="dcterms:W3CDTF">1996-10-08T23:32:33Z</dcterms:created>
  <dcterms:modified xsi:type="dcterms:W3CDTF">2017-01-22T08:38:37Z</dcterms:modified>
  <cp:category/>
  <cp:version/>
  <cp:contentType/>
  <cp:contentStatus/>
</cp:coreProperties>
</file>