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7956" firstSheet="1" activeTab="2"/>
  </bookViews>
  <sheets>
    <sheet name="Вместе" sheetId="12" state="hidden" r:id="rId1"/>
    <sheet name="БДР(ОД)" sheetId="8" r:id="rId2"/>
    <sheet name="БДР (ПД)" sheetId="4" r:id="rId3"/>
    <sheet name="Общий" sheetId="9" state="hidden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M22" i="4" l="1"/>
  <c r="D12" i="8"/>
  <c r="D25" i="8"/>
  <c r="C14" i="8" l="1"/>
  <c r="C3" i="8"/>
  <c r="D36" i="8" l="1"/>
  <c r="R22" i="4" l="1"/>
  <c r="S22" i="4"/>
  <c r="T22" i="4"/>
  <c r="U22" i="4"/>
  <c r="V22" i="4"/>
  <c r="W22" i="4"/>
  <c r="X22" i="4"/>
  <c r="C38" i="8"/>
  <c r="M4" i="4"/>
  <c r="I4" i="4"/>
  <c r="H11" i="8"/>
  <c r="G11" i="8"/>
  <c r="D11" i="8" s="1"/>
  <c r="M3" i="4" l="1"/>
  <c r="I3" i="4"/>
  <c r="J3" i="4"/>
  <c r="K3" i="4"/>
  <c r="D4" i="4"/>
  <c r="C4" i="4"/>
  <c r="L5" i="4" l="1"/>
  <c r="L3" i="4" s="1"/>
  <c r="E6" i="4"/>
  <c r="G6" i="4"/>
  <c r="N6" i="4"/>
  <c r="O6" i="4"/>
  <c r="Q17" i="4" l="1"/>
  <c r="P17" i="4"/>
  <c r="Q4" i="4" l="1"/>
  <c r="H4" i="8"/>
  <c r="H37" i="8" l="1"/>
  <c r="P16" i="4" l="1"/>
  <c r="G39" i="8"/>
  <c r="G22" i="8"/>
  <c r="G40" i="8"/>
  <c r="G41" i="8"/>
  <c r="G38" i="8"/>
  <c r="H41" i="8"/>
  <c r="H40" i="8"/>
  <c r="H39" i="8"/>
  <c r="H38" i="8"/>
  <c r="H27" i="8"/>
  <c r="H26" i="8"/>
  <c r="Q20" i="4"/>
  <c r="Q14" i="4" l="1"/>
  <c r="Q13" i="4"/>
  <c r="Q10" i="4"/>
  <c r="Q9" i="4"/>
  <c r="Q8" i="4"/>
  <c r="Q7" i="4"/>
  <c r="Q6" i="4" l="1"/>
  <c r="H13" i="8"/>
  <c r="H10" i="8" l="1"/>
  <c r="H43" i="8"/>
  <c r="F41" i="8" l="1"/>
  <c r="F40" i="8"/>
  <c r="E40" i="8"/>
  <c r="F37" i="8"/>
  <c r="E37" i="8"/>
  <c r="F26" i="8"/>
  <c r="E26" i="8"/>
  <c r="F39" i="8"/>
  <c r="E39" i="8"/>
  <c r="F43" i="8" l="1"/>
  <c r="G43" i="8"/>
  <c r="E43" i="8"/>
  <c r="D28" i="8"/>
  <c r="D29" i="8"/>
  <c r="D30" i="8"/>
  <c r="D31" i="8"/>
  <c r="D34" i="8"/>
  <c r="D18" i="8"/>
  <c r="D19" i="8"/>
  <c r="D16" i="8"/>
  <c r="D15" i="8"/>
  <c r="D13" i="8"/>
  <c r="H14" i="8" l="1"/>
  <c r="H5" i="8"/>
  <c r="H6" i="8"/>
  <c r="H7" i="8"/>
  <c r="H8" i="8"/>
  <c r="H9" i="8"/>
  <c r="H44" i="8"/>
  <c r="P10" i="4"/>
  <c r="H3" i="8" l="1"/>
  <c r="F22" i="8"/>
  <c r="M18" i="4" l="1"/>
  <c r="G14" i="8" l="1"/>
  <c r="E38" i="8"/>
  <c r="P19" i="4"/>
  <c r="M19" i="4" s="1"/>
  <c r="P11" i="4" l="1"/>
  <c r="O21" i="4" l="1"/>
  <c r="F38" i="8" l="1"/>
  <c r="D38" i="8" s="1"/>
  <c r="E17" i="8"/>
  <c r="D17" i="8" s="1"/>
  <c r="O4" i="4"/>
  <c r="P4" i="4"/>
  <c r="I13" i="4"/>
  <c r="O3" i="4" l="1"/>
  <c r="N4" i="4"/>
  <c r="N3" i="4" l="1"/>
  <c r="P9" i="4"/>
  <c r="P8" i="4"/>
  <c r="P7" i="4"/>
  <c r="P13" i="4"/>
  <c r="G26" i="8"/>
  <c r="D26" i="8" s="1"/>
  <c r="P6" i="4" l="1"/>
  <c r="Q3" i="4"/>
  <c r="M13" i="4"/>
  <c r="K19" i="8"/>
  <c r="K14" i="8" s="1"/>
  <c r="G4" i="8" l="1"/>
  <c r="D4" i="8" s="1"/>
  <c r="G5" i="8"/>
  <c r="D5" i="8" s="1"/>
  <c r="G6" i="8"/>
  <c r="D6" i="8" s="1"/>
  <c r="G7" i="8"/>
  <c r="D7" i="8" s="1"/>
  <c r="G8" i="8"/>
  <c r="D8" i="8" s="1"/>
  <c r="G9" i="8"/>
  <c r="D9" i="8" s="1"/>
  <c r="G10" i="8"/>
  <c r="D10" i="8" s="1"/>
  <c r="E20" i="8"/>
  <c r="D20" i="8" s="1"/>
  <c r="D14" i="8" s="1"/>
  <c r="F24" i="8"/>
  <c r="G33" i="8"/>
  <c r="F33" i="8"/>
  <c r="E41" i="8"/>
  <c r="F32" i="8"/>
  <c r="D32" i="8" s="1"/>
  <c r="D3" i="8" l="1"/>
  <c r="H35" i="8"/>
  <c r="G44" i="8"/>
  <c r="P3" i="4"/>
  <c r="G3" i="8"/>
  <c r="T17" i="4"/>
  <c r="S17" i="4"/>
  <c r="Q16" i="4" l="1"/>
  <c r="H25" i="8" l="1"/>
  <c r="F44" i="8"/>
  <c r="G35" i="8" l="1"/>
  <c r="F3" i="8"/>
  <c r="D37" i="8" l="1"/>
  <c r="P12" i="4"/>
  <c r="J12" i="4"/>
  <c r="K12" i="4"/>
  <c r="L12" i="4"/>
  <c r="O12" i="4"/>
  <c r="G25" i="8" l="1"/>
  <c r="G12" i="8" s="1"/>
  <c r="D40" i="8"/>
  <c r="P22" i="4"/>
  <c r="O22" i="4"/>
  <c r="E14" i="8"/>
  <c r="F14" i="8"/>
  <c r="E25" i="8"/>
  <c r="F25" i="8"/>
  <c r="H12" i="8" l="1"/>
  <c r="F12" i="8"/>
  <c r="E12" i="8"/>
  <c r="L22" i="4" l="1"/>
  <c r="E3" i="8"/>
  <c r="J22" i="4" l="1"/>
  <c r="K3" i="8"/>
  <c r="K22" i="4"/>
  <c r="N12" i="4"/>
  <c r="N22" i="4" s="1"/>
  <c r="G17" i="4" l="1"/>
  <c r="F17" i="4"/>
  <c r="E17" i="4"/>
  <c r="C12" i="4"/>
  <c r="D17" i="4"/>
  <c r="G20" i="4" l="1"/>
  <c r="G14" i="4"/>
  <c r="G4" i="4" l="1"/>
  <c r="I14" i="4" l="1"/>
  <c r="G13" i="4" l="1"/>
  <c r="H4" i="4" l="1"/>
  <c r="H15" i="4"/>
  <c r="H17" i="4"/>
  <c r="H18" i="4"/>
  <c r="H19" i="4"/>
  <c r="H20" i="4"/>
  <c r="H21" i="4"/>
  <c r="C41" i="8"/>
  <c r="C25" i="8" s="1"/>
  <c r="I20" i="4"/>
  <c r="I16" i="4"/>
  <c r="I12" i="4" l="1"/>
  <c r="G3" i="4" l="1"/>
  <c r="N34" i="12" l="1"/>
  <c r="H34" i="12"/>
  <c r="G34" i="12"/>
  <c r="E35" i="12"/>
  <c r="F35" i="12"/>
  <c r="G35" i="12"/>
  <c r="M35" i="12"/>
  <c r="N35" i="12" s="1"/>
  <c r="H10" i="12" l="1"/>
  <c r="I10" i="12"/>
  <c r="J10" i="12"/>
  <c r="K10" i="12"/>
  <c r="L10" i="12"/>
  <c r="L3" i="12" s="1"/>
  <c r="N10" i="12"/>
  <c r="O10" i="12"/>
  <c r="M12" i="12"/>
  <c r="M11" i="12"/>
  <c r="M10" i="12" s="1"/>
  <c r="G12" i="12"/>
  <c r="G11" i="12"/>
  <c r="G10" i="12" s="1"/>
  <c r="H12" i="12"/>
  <c r="H11" i="12"/>
  <c r="F12" i="12"/>
  <c r="F11" i="12"/>
  <c r="F10" i="12" s="1"/>
  <c r="E10" i="12"/>
  <c r="D10" i="12"/>
  <c r="C10" i="12"/>
  <c r="E9" i="12"/>
  <c r="C15" i="12"/>
  <c r="D16" i="12"/>
  <c r="D15" i="12" s="1"/>
  <c r="F15" i="12" s="1"/>
  <c r="E16" i="12"/>
  <c r="F16" i="12" s="1"/>
  <c r="E17" i="12"/>
  <c r="F17" i="12" s="1"/>
  <c r="D18" i="12"/>
  <c r="G18" i="12"/>
  <c r="F19" i="12"/>
  <c r="N59" i="12"/>
  <c r="F59" i="12"/>
  <c r="N58" i="12"/>
  <c r="E58" i="12"/>
  <c r="F58" i="12" s="1"/>
  <c r="M57" i="12"/>
  <c r="L57" i="12"/>
  <c r="K57" i="12"/>
  <c r="J57" i="12"/>
  <c r="I57" i="12"/>
  <c r="H57" i="12"/>
  <c r="G57" i="12"/>
  <c r="M56" i="12"/>
  <c r="M55" i="12" s="1"/>
  <c r="E56" i="12"/>
  <c r="G56" i="12" s="1"/>
  <c r="L55" i="12"/>
  <c r="K55" i="12"/>
  <c r="J55" i="12"/>
  <c r="I55" i="12"/>
  <c r="H55" i="12"/>
  <c r="D55" i="12"/>
  <c r="C55" i="12"/>
  <c r="N54" i="12"/>
  <c r="M54" i="12"/>
  <c r="E54" i="12"/>
  <c r="F54" i="12" s="1"/>
  <c r="N53" i="12"/>
  <c r="M53" i="12"/>
  <c r="E53" i="12"/>
  <c r="F53" i="12" s="1"/>
  <c r="N52" i="12"/>
  <c r="F52" i="12"/>
  <c r="N51" i="12"/>
  <c r="F51" i="12"/>
  <c r="M50" i="12"/>
  <c r="F50" i="12"/>
  <c r="E50" i="12"/>
  <c r="G50" i="12" s="1"/>
  <c r="N50" i="12" s="1"/>
  <c r="D50" i="12"/>
  <c r="C50" i="12"/>
  <c r="M49" i="12"/>
  <c r="E49" i="12"/>
  <c r="G49" i="12" s="1"/>
  <c r="N48" i="12"/>
  <c r="M48" i="12"/>
  <c r="E48" i="12"/>
  <c r="C48" i="12"/>
  <c r="N47" i="12"/>
  <c r="G47" i="12"/>
  <c r="F47" i="12"/>
  <c r="G46" i="12"/>
  <c r="N46" i="12" s="1"/>
  <c r="F46" i="12"/>
  <c r="N45" i="12"/>
  <c r="F45" i="12"/>
  <c r="N44" i="12"/>
  <c r="G44" i="12"/>
  <c r="F44" i="12"/>
  <c r="M43" i="12"/>
  <c r="N43" i="12" s="1"/>
  <c r="F43" i="12"/>
  <c r="N42" i="12"/>
  <c r="M42" i="12"/>
  <c r="F42" i="12"/>
  <c r="M41" i="12"/>
  <c r="N41" i="12" s="1"/>
  <c r="F41" i="12"/>
  <c r="E41" i="12"/>
  <c r="O40" i="12"/>
  <c r="M40" i="12"/>
  <c r="G40" i="12"/>
  <c r="F40" i="12"/>
  <c r="N39" i="12"/>
  <c r="E39" i="12"/>
  <c r="F39" i="12" s="1"/>
  <c r="N38" i="12"/>
  <c r="E38" i="12"/>
  <c r="F38" i="12" s="1"/>
  <c r="G37" i="12"/>
  <c r="N37" i="12" s="1"/>
  <c r="D37" i="12"/>
  <c r="F37" i="12" s="1"/>
  <c r="F36" i="12"/>
  <c r="E36" i="12"/>
  <c r="G36" i="12" s="1"/>
  <c r="O33" i="12"/>
  <c r="O35" i="12" s="1"/>
  <c r="M33" i="12"/>
  <c r="Q57" i="12" s="1"/>
  <c r="G33" i="12"/>
  <c r="E33" i="12"/>
  <c r="D33" i="12"/>
  <c r="L32" i="12"/>
  <c r="K32" i="12"/>
  <c r="J32" i="12"/>
  <c r="I32" i="12"/>
  <c r="H32" i="12"/>
  <c r="C32" i="12"/>
  <c r="N31" i="12"/>
  <c r="E31" i="12"/>
  <c r="F31" i="12" s="1"/>
  <c r="C31" i="12"/>
  <c r="C18" i="12" s="1"/>
  <c r="N30" i="12"/>
  <c r="F30" i="12"/>
  <c r="N29" i="12"/>
  <c r="E29" i="12"/>
  <c r="F29" i="12" s="1"/>
  <c r="N28" i="12"/>
  <c r="E28" i="12"/>
  <c r="F28" i="12" s="1"/>
  <c r="M27" i="12"/>
  <c r="N27" i="12" s="1"/>
  <c r="E27" i="12"/>
  <c r="F27" i="12" s="1"/>
  <c r="N26" i="12"/>
  <c r="F26" i="12"/>
  <c r="N25" i="12"/>
  <c r="F25" i="12"/>
  <c r="E25" i="12"/>
  <c r="N23" i="12"/>
  <c r="F23" i="12"/>
  <c r="N22" i="12"/>
  <c r="F22" i="12"/>
  <c r="N21" i="12"/>
  <c r="F21" i="12"/>
  <c r="N20" i="12"/>
  <c r="F20" i="12"/>
  <c r="N19" i="12"/>
  <c r="L18" i="12"/>
  <c r="K18" i="12"/>
  <c r="J18" i="12"/>
  <c r="I18" i="12"/>
  <c r="I14" i="12" s="1"/>
  <c r="H18" i="12"/>
  <c r="N17" i="12"/>
  <c r="N16" i="12"/>
  <c r="M15" i="12"/>
  <c r="N15" i="12" s="1"/>
  <c r="M8" i="12"/>
  <c r="M4" i="12" s="1"/>
  <c r="M3" i="12" s="1"/>
  <c r="F8" i="12"/>
  <c r="D8" i="12"/>
  <c r="M7" i="12"/>
  <c r="F7" i="12"/>
  <c r="M6" i="12"/>
  <c r="G6" i="12"/>
  <c r="H6" i="12" s="1"/>
  <c r="F6" i="12"/>
  <c r="N5" i="12"/>
  <c r="M5" i="12"/>
  <c r="H5" i="12"/>
  <c r="I5" i="12" s="1"/>
  <c r="L4" i="12"/>
  <c r="E4" i="12"/>
  <c r="C4" i="12"/>
  <c r="N40" i="12" l="1"/>
  <c r="E18" i="12"/>
  <c r="F18" i="12" s="1"/>
  <c r="H14" i="12"/>
  <c r="L14" i="12"/>
  <c r="L60" i="12" s="1"/>
  <c r="F33" i="12"/>
  <c r="M32" i="12"/>
  <c r="K14" i="12"/>
  <c r="N57" i="12"/>
  <c r="E32" i="12"/>
  <c r="E14" i="12" s="1"/>
  <c r="J14" i="12"/>
  <c r="N6" i="12"/>
  <c r="N49" i="12"/>
  <c r="C14" i="12"/>
  <c r="C60" i="12" s="1"/>
  <c r="D32" i="12"/>
  <c r="D14" i="12" s="1"/>
  <c r="I6" i="12"/>
  <c r="N36" i="12"/>
  <c r="G32" i="12"/>
  <c r="G14" i="12" s="1"/>
  <c r="N56" i="12"/>
  <c r="G55" i="12"/>
  <c r="G8" i="12" s="1"/>
  <c r="H8" i="12" s="1"/>
  <c r="I8" i="12" s="1"/>
  <c r="J5" i="12"/>
  <c r="M18" i="12"/>
  <c r="O32" i="12"/>
  <c r="O14" i="12" s="1"/>
  <c r="F48" i="12"/>
  <c r="F49" i="12"/>
  <c r="F56" i="12"/>
  <c r="E57" i="12"/>
  <c r="F57" i="12" s="1"/>
  <c r="K5" i="12"/>
  <c r="E55" i="12"/>
  <c r="F55" i="12" s="1"/>
  <c r="N33" i="12"/>
  <c r="N55" i="12" l="1"/>
  <c r="F32" i="12"/>
  <c r="F14" i="12" s="1"/>
  <c r="N32" i="12"/>
  <c r="D5" i="12"/>
  <c r="K8" i="12"/>
  <c r="J8" i="12"/>
  <c r="E60" i="12"/>
  <c r="K6" i="12"/>
  <c r="J6" i="12"/>
  <c r="N18" i="12"/>
  <c r="M14" i="12"/>
  <c r="N8" i="12"/>
  <c r="G7" i="12"/>
  <c r="H7" i="12" l="1"/>
  <c r="N7" i="12"/>
  <c r="G4" i="12"/>
  <c r="G3" i="12" s="1"/>
  <c r="N14" i="12"/>
  <c r="M60" i="12"/>
  <c r="D4" i="12"/>
  <c r="F5" i="12"/>
  <c r="G12" i="4" l="1"/>
  <c r="G60" i="12"/>
  <c r="N60" i="12" s="1"/>
  <c r="N4" i="12"/>
  <c r="N3" i="12" s="1"/>
  <c r="I7" i="12"/>
  <c r="H4" i="12"/>
  <c r="F4" i="12"/>
  <c r="D60" i="12"/>
  <c r="F60" i="12" s="1"/>
  <c r="H60" i="12" l="1"/>
  <c r="H3" i="12"/>
  <c r="K7" i="12"/>
  <c r="K4" i="12" s="1"/>
  <c r="J7" i="12"/>
  <c r="J4" i="12" s="1"/>
  <c r="I4" i="12"/>
  <c r="C12" i="8"/>
  <c r="K60" i="12" l="1"/>
  <c r="K3" i="12"/>
  <c r="J60" i="12"/>
  <c r="J3" i="12"/>
  <c r="I60" i="12"/>
  <c r="I3" i="12"/>
  <c r="D12" i="4"/>
  <c r="D62" i="9"/>
  <c r="G66" i="9"/>
  <c r="G63" i="9"/>
  <c r="G64" i="9" s="1"/>
  <c r="E74" i="9"/>
  <c r="E71" i="9"/>
  <c r="E70" i="9"/>
  <c r="F70" i="9" s="1"/>
  <c r="E69" i="9"/>
  <c r="F69" i="9" s="1"/>
  <c r="E67" i="9"/>
  <c r="E66" i="9"/>
  <c r="E62" i="9" s="1"/>
  <c r="F62" i="9" s="1"/>
  <c r="F63" i="9"/>
  <c r="F64" i="9"/>
  <c r="F65" i="9"/>
  <c r="F66" i="9"/>
  <c r="F67" i="9"/>
  <c r="F68" i="9"/>
  <c r="F71" i="9"/>
  <c r="F72" i="9"/>
  <c r="F73" i="9"/>
  <c r="F74" i="9"/>
  <c r="G62" i="9" l="1"/>
  <c r="F16" i="4"/>
  <c r="H16" i="4" s="1"/>
  <c r="F13" i="4" l="1"/>
  <c r="H13" i="4" l="1"/>
  <c r="C62" i="9"/>
  <c r="F12" i="9"/>
  <c r="F13" i="9"/>
  <c r="F14" i="9"/>
  <c r="F21" i="9"/>
  <c r="F22" i="9"/>
  <c r="F23" i="9"/>
  <c r="F24" i="9"/>
  <c r="F25" i="9"/>
  <c r="F27" i="9"/>
  <c r="F31" i="9"/>
  <c r="F41" i="9"/>
  <c r="F43" i="9"/>
  <c r="F44" i="9"/>
  <c r="F45" i="9"/>
  <c r="F46" i="9"/>
  <c r="F47" i="9"/>
  <c r="F48" i="9"/>
  <c r="F53" i="9"/>
  <c r="F54" i="9"/>
  <c r="F61" i="9"/>
  <c r="G13" i="9"/>
  <c r="G12" i="9"/>
  <c r="F14" i="4" l="1"/>
  <c r="D59" i="9"/>
  <c r="H14" i="4" l="1"/>
  <c r="F12" i="4"/>
  <c r="H12" i="4" s="1"/>
  <c r="E60" i="9"/>
  <c r="F60" i="9" s="1"/>
  <c r="E11" i="9"/>
  <c r="D11" i="9"/>
  <c r="F7" i="9"/>
  <c r="F8" i="9"/>
  <c r="E5" i="9"/>
  <c r="E4" i="4"/>
  <c r="E10" i="9" s="1"/>
  <c r="F11" i="9" l="1"/>
  <c r="G10" i="9"/>
  <c r="F10" i="9"/>
  <c r="G59" i="9"/>
  <c r="E58" i="9"/>
  <c r="F58" i="9" s="1"/>
  <c r="D57" i="9"/>
  <c r="D9" i="9" s="1"/>
  <c r="F9" i="9" s="1"/>
  <c r="C57" i="9"/>
  <c r="E56" i="9"/>
  <c r="F56" i="9" s="1"/>
  <c r="E55" i="9"/>
  <c r="F55" i="9" s="1"/>
  <c r="E52" i="9"/>
  <c r="F52" i="9" s="1"/>
  <c r="C52" i="9"/>
  <c r="E51" i="9"/>
  <c r="F51" i="9" s="1"/>
  <c r="E50" i="9"/>
  <c r="F50" i="9" s="1"/>
  <c r="E49" i="9"/>
  <c r="F49" i="9" s="1"/>
  <c r="C49" i="9"/>
  <c r="C34" i="9" s="1"/>
  <c r="G48" i="9"/>
  <c r="G47" i="9"/>
  <c r="E42" i="9"/>
  <c r="F42" i="9" s="1"/>
  <c r="G41" i="9"/>
  <c r="E40" i="9"/>
  <c r="F40" i="9" s="1"/>
  <c r="E39" i="9"/>
  <c r="F39" i="9" s="1"/>
  <c r="G38" i="9"/>
  <c r="D38" i="9"/>
  <c r="F38" i="9" s="1"/>
  <c r="E37" i="9"/>
  <c r="F37" i="9" s="1"/>
  <c r="E36" i="9"/>
  <c r="F36" i="9" s="1"/>
  <c r="E35" i="9"/>
  <c r="D35" i="9"/>
  <c r="E33" i="9"/>
  <c r="F33" i="9" s="1"/>
  <c r="E32" i="9"/>
  <c r="F32" i="9" s="1"/>
  <c r="C32" i="9"/>
  <c r="C20" i="9" s="1"/>
  <c r="E30" i="9"/>
  <c r="F30" i="9" s="1"/>
  <c r="E29" i="9"/>
  <c r="F29" i="9" s="1"/>
  <c r="E28" i="9"/>
  <c r="F28" i="9" s="1"/>
  <c r="E26" i="9"/>
  <c r="F26" i="9" s="1"/>
  <c r="G20" i="9"/>
  <c r="D20" i="9"/>
  <c r="E19" i="9"/>
  <c r="F19" i="9" s="1"/>
  <c r="E18" i="9"/>
  <c r="D18" i="9"/>
  <c r="C17" i="9"/>
  <c r="C11" i="9" s="1"/>
  <c r="E4" i="9"/>
  <c r="C5" i="9"/>
  <c r="E59" i="9"/>
  <c r="F59" i="9" s="1"/>
  <c r="D16" i="9" l="1"/>
  <c r="D15" i="9" s="1"/>
  <c r="F18" i="9"/>
  <c r="F35" i="9"/>
  <c r="G36" i="9"/>
  <c r="G42" i="9"/>
  <c r="G52" i="9"/>
  <c r="G58" i="9"/>
  <c r="G57" i="9" s="1"/>
  <c r="G9" i="9" s="1"/>
  <c r="E34" i="9"/>
  <c r="G37" i="9"/>
  <c r="G50" i="9"/>
  <c r="E57" i="9"/>
  <c r="F57" i="9" s="1"/>
  <c r="E20" i="9"/>
  <c r="F20" i="9" s="1"/>
  <c r="G51" i="9"/>
  <c r="D34" i="9"/>
  <c r="F34" i="9" s="1"/>
  <c r="D17" i="9"/>
  <c r="F17" i="9" s="1"/>
  <c r="E16" i="9" l="1"/>
  <c r="E15" i="9" s="1"/>
  <c r="E79" i="9" s="1"/>
  <c r="G7" i="9"/>
  <c r="D6" i="9"/>
  <c r="F6" i="9" s="1"/>
  <c r="F16" i="9" l="1"/>
  <c r="G35" i="9"/>
  <c r="G34" i="9" s="1"/>
  <c r="D5" i="9"/>
  <c r="D4" i="9" s="1"/>
  <c r="D79" i="9" s="1"/>
  <c r="F5" i="9" l="1"/>
  <c r="F4" i="9" s="1"/>
  <c r="E16" i="4"/>
  <c r="F7" i="4"/>
  <c r="E20" i="4"/>
  <c r="E3" i="4"/>
  <c r="D3" i="4"/>
  <c r="C3" i="4"/>
  <c r="H7" i="4" l="1"/>
  <c r="F6" i="4"/>
  <c r="H6" i="4" s="1"/>
  <c r="E12" i="4"/>
  <c r="G11" i="9" l="1"/>
  <c r="G8" i="9"/>
  <c r="G5" i="9" s="1"/>
  <c r="G16" i="9"/>
  <c r="G15" i="9" s="1"/>
  <c r="F3" i="4"/>
  <c r="F15" i="9"/>
  <c r="G4" i="9" l="1"/>
  <c r="G79" i="9" s="1"/>
  <c r="H3" i="4"/>
  <c r="M15" i="4" l="1"/>
  <c r="M12" i="4" s="1"/>
  <c r="Q12" i="4"/>
  <c r="Q22" i="4" s="1"/>
</calcChain>
</file>

<file path=xl/comments1.xml><?xml version="1.0" encoding="utf-8"?>
<comments xmlns="http://schemas.openxmlformats.org/spreadsheetml/2006/main">
  <authors>
    <author>Автор</author>
  </authors>
  <commentLis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2600 доставка столбов, 100 т.р. Подпорная стена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2000= тестирование каб.линии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555,75 материлы
3000 дог подряд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13 943,14 материлы+18000 договор</t>
        </r>
      </text>
    </comment>
    <comment ref="H38" authorId="0" shapeId="0">
      <text>
        <r>
          <rPr>
            <sz val="9"/>
            <color indexed="81"/>
            <rFont val="Tahoma"/>
            <family val="2"/>
            <charset val="204"/>
          </rPr>
          <t>3450,00 - снегурочка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3,57 связь (было)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6720,6 хоз нужды по списанию</t>
        </r>
      </text>
    </comment>
    <comment ref="H41" authorId="0" shapeId="0">
      <text>
        <r>
          <rPr>
            <sz val="9"/>
            <color indexed="81"/>
            <rFont val="Tahoma"/>
            <family val="2"/>
            <charset val="204"/>
          </rPr>
          <t>3000,00 - дезинфекция
661,50+4745,39 - матер.для тек.сод.здания
5276,00 - елка, украшения на НГ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P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з/п контролеры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конвектор
</t>
        </r>
      </text>
    </comment>
    <comment ref="P16" authorId="0" shapeId="0">
      <text>
        <r>
          <rPr>
            <sz val="9"/>
            <color indexed="81"/>
            <rFont val="Tahoma"/>
            <family val="2"/>
            <charset val="204"/>
          </rPr>
          <t>536,00 цемент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6000 настройка привода
2500 диагностика
2000 приемник ДУ списание
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видеон 2940
3289 материлы ремот ворот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3,0 - эвакуатор а/м Хонда Цивик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земля 3000 ИП Мельник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конвектор
</t>
        </r>
      </text>
    </comment>
  </commentList>
</comments>
</file>

<file path=xl/sharedStrings.xml><?xml version="1.0" encoding="utf-8"?>
<sst xmlns="http://schemas.openxmlformats.org/spreadsheetml/2006/main" count="402" uniqueCount="223">
  <si>
    <t>№</t>
  </si>
  <si>
    <t>Наименование</t>
  </si>
  <si>
    <t>Факт  за 2014</t>
  </si>
  <si>
    <t>1.1</t>
  </si>
  <si>
    <t>Выручка по коммунальным услугам</t>
  </si>
  <si>
    <t>1.1.1</t>
  </si>
  <si>
    <t>Выручка по вывозу ТБО</t>
  </si>
  <si>
    <t>1.1.2</t>
  </si>
  <si>
    <t>Выручка по текущему ремонту</t>
  </si>
  <si>
    <t>1.1.3</t>
  </si>
  <si>
    <t>Выручка по содержанию жилья</t>
  </si>
  <si>
    <t>1.1.4</t>
  </si>
  <si>
    <t>Выручка по содержанию лифтов</t>
  </si>
  <si>
    <t>1.2</t>
  </si>
  <si>
    <t>Выручка прочая(пени, отключение стояков)</t>
  </si>
  <si>
    <t>1.3</t>
  </si>
  <si>
    <t>ВЫРУЧКА  от предпринимательской деятельности</t>
  </si>
  <si>
    <t>1.4</t>
  </si>
  <si>
    <t>2</t>
  </si>
  <si>
    <t>РАСХОДЫ</t>
  </si>
  <si>
    <t>2.1</t>
  </si>
  <si>
    <t>ВЫВОЗ ТБО</t>
  </si>
  <si>
    <t>2.1.1</t>
  </si>
  <si>
    <t>Вывоз ТБО</t>
  </si>
  <si>
    <t>2.1.2</t>
  </si>
  <si>
    <t>Вывоз крупногабаритного мусора</t>
  </si>
  <si>
    <t>2.2</t>
  </si>
  <si>
    <t>ТЕКУЩИЙ РЕМОНТ</t>
  </si>
  <si>
    <t>2.2.1</t>
  </si>
  <si>
    <t>Герметизация ввода ( подъезд 1-й и 2-й второй)</t>
  </si>
  <si>
    <t>2.2.3</t>
  </si>
  <si>
    <t>2.2.4</t>
  </si>
  <si>
    <t>Лестница к Кропоткинскому магазину</t>
  </si>
  <si>
    <t>2.2.5</t>
  </si>
  <si>
    <t>Ремонт межпанельных швов</t>
  </si>
  <si>
    <t>2.2.6</t>
  </si>
  <si>
    <t>2.2.7</t>
  </si>
  <si>
    <t>Ремонт входных тамбуров в 4 подъездах</t>
  </si>
  <si>
    <t>2.2.8</t>
  </si>
  <si>
    <t>Установка кранов пожаротушения</t>
  </si>
  <si>
    <t>2.2.9</t>
  </si>
  <si>
    <t>Устройство перил лестничного марша, 1 и 4 подъезды</t>
  </si>
  <si>
    <t>2.2.10</t>
  </si>
  <si>
    <t>Ремонт кабин лифта</t>
  </si>
  <si>
    <t>2.2.11</t>
  </si>
  <si>
    <t>2.2.12</t>
  </si>
  <si>
    <t>2.3</t>
  </si>
  <si>
    <t>СОДЕРЖАНИЕ ЖИЛЬЯ</t>
  </si>
  <si>
    <t>2.3.1</t>
  </si>
  <si>
    <t>Заработная плата( с НДФЛ)</t>
  </si>
  <si>
    <t>2.3.2</t>
  </si>
  <si>
    <t>Страховые взносы с ФОТ</t>
  </si>
  <si>
    <t>2.3.3</t>
  </si>
  <si>
    <t>Компенсация на использование личного автотранспорта</t>
  </si>
  <si>
    <t>Налог УСН</t>
  </si>
  <si>
    <t>2.3.5</t>
  </si>
  <si>
    <t>Аварийно диспетчерская служба</t>
  </si>
  <si>
    <t>2.3.6</t>
  </si>
  <si>
    <t>Обязательная аттестация сотрудников</t>
  </si>
  <si>
    <t>2.3.7</t>
  </si>
  <si>
    <t>Тех. Обслуживание тех.узла системы теплоснабжения</t>
  </si>
  <si>
    <t>2.3.8</t>
  </si>
  <si>
    <t>Подготовка системы отопления к отопительному сезону(промывка, опрессовка требопровода)</t>
  </si>
  <si>
    <t>2.3.9</t>
  </si>
  <si>
    <t>Элетроэнергия МОП</t>
  </si>
  <si>
    <t>2.3.10</t>
  </si>
  <si>
    <t>МОП Горводоканал</t>
  </si>
  <si>
    <t>2.3.11</t>
  </si>
  <si>
    <t>Услуги НП ОРС</t>
  </si>
  <si>
    <t>Фонд председателя правления</t>
  </si>
  <si>
    <t>2.3.13</t>
  </si>
  <si>
    <t>2.3.14</t>
  </si>
  <si>
    <t>2.3.15</t>
  </si>
  <si>
    <t>2.3.16</t>
  </si>
  <si>
    <t>2.3.17</t>
  </si>
  <si>
    <t>Расходы на услуги банка</t>
  </si>
  <si>
    <t>2.3.19</t>
  </si>
  <si>
    <t>Материалы,хоз, элетро.</t>
  </si>
  <si>
    <t>2.4</t>
  </si>
  <si>
    <t>СОДЕРЖАНИЕ ЛИФТОВ</t>
  </si>
  <si>
    <t>2.4.1</t>
  </si>
  <si>
    <t>Тех. Обслуживанаие ЛДСС+тех осведетельствование-8тыс руб</t>
  </si>
  <si>
    <t>2.5</t>
  </si>
  <si>
    <t>2.5.1</t>
  </si>
  <si>
    <t>2.5.2</t>
  </si>
  <si>
    <t>Установка и содержание шлагбаума</t>
  </si>
  <si>
    <t xml:space="preserve">Ремонт подпорной стены </t>
  </si>
  <si>
    <t>Непредвиденные расходы</t>
  </si>
  <si>
    <t>Суд</t>
  </si>
  <si>
    <t>Восстановление тех документации дома</t>
  </si>
  <si>
    <t>План  2015</t>
  </si>
  <si>
    <t>Откло нение</t>
  </si>
  <si>
    <t>Факт  2015</t>
  </si>
  <si>
    <t>План на 2016</t>
  </si>
  <si>
    <t>Замер сопротивления изоляции дома</t>
  </si>
  <si>
    <t>Ограждение пешеходной  зоны, подъезд1, лестница</t>
  </si>
  <si>
    <t xml:space="preserve">Ремонт подъезд 1(за 2015г) </t>
  </si>
  <si>
    <t>Расходы на связь, почта</t>
  </si>
  <si>
    <t>ИТОГО РАСХОДЫ</t>
  </si>
  <si>
    <t>Канцелярские расходы</t>
  </si>
  <si>
    <t>2.5.3</t>
  </si>
  <si>
    <t>2.5.5</t>
  </si>
  <si>
    <t>2.5.6</t>
  </si>
  <si>
    <t>2.5.7</t>
  </si>
  <si>
    <t>2.5.8</t>
  </si>
  <si>
    <t>2.5.9</t>
  </si>
  <si>
    <t>2.5.10</t>
  </si>
  <si>
    <t>Выручка по  автопарковке</t>
  </si>
  <si>
    <t>Благоустройство территории</t>
  </si>
  <si>
    <t>Оплата труда контролеров</t>
  </si>
  <si>
    <t>Страховые взносы с ФОТ контролеров</t>
  </si>
  <si>
    <t>Юрист</t>
  </si>
  <si>
    <t>ОДН по ГВС и ХВС</t>
  </si>
  <si>
    <t>2.2.13</t>
  </si>
  <si>
    <t>Вывоз и уборка снега, чистка козырьков</t>
  </si>
  <si>
    <t>Промывка канализации сторонней организацией</t>
  </si>
  <si>
    <t>Ремонт крыши 2 подъезда,  отвод воды, 3 подъезда</t>
  </si>
  <si>
    <t>Вызов мастера по программированию брелков</t>
  </si>
  <si>
    <t>Брелки по воротам</t>
  </si>
  <si>
    <t xml:space="preserve">Содержание и ремонт автоматических ворот, видио </t>
  </si>
  <si>
    <t>Мелкий ремонт,двери, труба сливная</t>
  </si>
  <si>
    <t>Содержание сайта</t>
  </si>
  <si>
    <t>Расходы на регистрацию, нотариуса</t>
  </si>
  <si>
    <t>Обслуживание ПО, катридж, копии , обновление 1С</t>
  </si>
  <si>
    <t>Косметический  ремонт (11 этажи 2.3 подъезд)</t>
  </si>
  <si>
    <t xml:space="preserve">Замер и дороботка сиситемы канализации стоков 4-х подъезд </t>
  </si>
  <si>
    <t>4-х</t>
  </si>
  <si>
    <t>тариф21,83</t>
  </si>
  <si>
    <t>ИТОГО ВЫРУЧКА</t>
  </si>
  <si>
    <t>Выручка прочая(пени, отключение стояков, антенна)</t>
  </si>
  <si>
    <t xml:space="preserve">Расходы по коммунальным услугам, в т.ч. </t>
  </si>
  <si>
    <t>Выручка от предпринимательской деят-ти</t>
  </si>
  <si>
    <t>1.5</t>
  </si>
  <si>
    <t>1.6</t>
  </si>
  <si>
    <t>2.5.4</t>
  </si>
  <si>
    <t>2.5.11</t>
  </si>
  <si>
    <t>2.5.12</t>
  </si>
  <si>
    <t>ВЫРУЧКА  от предпринимательской деятельности, в.т.ч.</t>
  </si>
  <si>
    <t xml:space="preserve">          Выручка по  автопарковке</t>
  </si>
  <si>
    <t xml:space="preserve">          Благоустройство территории</t>
  </si>
  <si>
    <t xml:space="preserve">          Выручка от предпринимательской деят-ти</t>
  </si>
  <si>
    <t xml:space="preserve">      Непредвиденные расходы, в т.ч.</t>
  </si>
  <si>
    <t xml:space="preserve">                                      Суд</t>
  </si>
  <si>
    <t xml:space="preserve">                                      Юрист</t>
  </si>
  <si>
    <t>Прочие расходы</t>
  </si>
  <si>
    <t>Финансовый результат</t>
  </si>
  <si>
    <t xml:space="preserve">Устройство перил </t>
  </si>
  <si>
    <t>2.5.13</t>
  </si>
  <si>
    <t>Озеленение территории дома</t>
  </si>
  <si>
    <t>2.5.14</t>
  </si>
  <si>
    <t>Хоз.нужды, эл/энегрия</t>
  </si>
  <si>
    <t>ПРОЧИЕ ДОХОДЫ</t>
  </si>
  <si>
    <t>ПРОЧИЕ РАСХОДЫ</t>
  </si>
  <si>
    <t>Изготовление и установки лестницы к Кропоткинскому универмагу</t>
  </si>
  <si>
    <t>Реконструкция места контролеров с установкой защитной системы  с видионаблюдением</t>
  </si>
  <si>
    <t>Ремонт освещения территории дома</t>
  </si>
  <si>
    <t xml:space="preserve">Снос тополей, ремонт  ограждения, тротуара на дорожке к лицею </t>
  </si>
  <si>
    <t>2.5.15</t>
  </si>
  <si>
    <t>2.5.16</t>
  </si>
  <si>
    <t>Ремонт асфальтового покрытия  устройства водостоков на придомовой территории</t>
  </si>
  <si>
    <t>2.3.12</t>
  </si>
  <si>
    <t>2.3.18</t>
  </si>
  <si>
    <t>2.3.20</t>
  </si>
  <si>
    <t>2.3.21</t>
  </si>
  <si>
    <t>2.3.22</t>
  </si>
  <si>
    <t>2.3.23</t>
  </si>
  <si>
    <t>2.3.24</t>
  </si>
  <si>
    <t>2.3.25</t>
  </si>
  <si>
    <t xml:space="preserve"> ОБЩАЯ СМЕТА ДОХОДОВ И РАСХОДОВ на 2016г ТСЖ Кропоткина 261</t>
  </si>
  <si>
    <t>СМЕТА ДОХОДОВ И РАСХОДОВ ТСЖ "КРОПОТКИНА 261"на   2017г                                       (жилищно-коммунальные услуги)</t>
  </si>
  <si>
    <t>Факт 2016</t>
  </si>
  <si>
    <t>План 2017</t>
  </si>
  <si>
    <t xml:space="preserve">Ремонт крыши, паребриков, плит. </t>
  </si>
  <si>
    <t>Материалы,хоз, элетротовары, наклейки</t>
  </si>
  <si>
    <t>Выручка по содержанию жилья,антенна</t>
  </si>
  <si>
    <t xml:space="preserve">Ремонт подъезд 2(Частично, итог в 2017) </t>
  </si>
  <si>
    <t>Обслуживание ПО, катридж, копии , обновление 1С, СБИС</t>
  </si>
  <si>
    <t>Содержание сайта, связь, почта</t>
  </si>
  <si>
    <t>ДОХОДЫ ИТОГО</t>
  </si>
  <si>
    <t>Ремонт асфальтового покрытия  устройства водостоков на придомовой территории дорожка</t>
  </si>
  <si>
    <t>Изготовление и монтаж окон, решеток в подвалы</t>
  </si>
  <si>
    <t>Ремонт снегоуборочной машины</t>
  </si>
  <si>
    <t>Входные группы ремонт, Установка кранов пожаротушения</t>
  </si>
  <si>
    <t>плюс отпуск и премия</t>
  </si>
  <si>
    <t>Выручка за пользование кол.антеной</t>
  </si>
  <si>
    <t>1.1.5</t>
  </si>
  <si>
    <t>1 кв 2017</t>
  </si>
  <si>
    <t>2 кв 2017</t>
  </si>
  <si>
    <t>Выручка ГВ сод. Общ. Имущ</t>
  </si>
  <si>
    <t>Выручка ХВ сод. Общ. Имущ</t>
  </si>
  <si>
    <t>Выручка ЭЭ на общ. Имущ</t>
  </si>
  <si>
    <t>ГВ (ПОВЫШАЮЩИЙ КОЭФФИЦИЕНТ)</t>
  </si>
  <si>
    <t>ХВ (ПОВЫШАЮЩИЙ КОЭФФИЦИЕНТ)</t>
  </si>
  <si>
    <t>1.1.6</t>
  </si>
  <si>
    <t>1.1.7</t>
  </si>
  <si>
    <t>3 кв 2017</t>
  </si>
  <si>
    <t>Факт 2017</t>
  </si>
  <si>
    <t>дорожка</t>
  </si>
  <si>
    <t>ремонт кв</t>
  </si>
  <si>
    <t xml:space="preserve">Ремонт подъезд 2 (частично, окончание в 2017) </t>
  </si>
  <si>
    <t>Ремонт канализации в подвале 3,4 подъезд материалы</t>
  </si>
  <si>
    <t>Счетчик холодной воды, узел учета ХВС</t>
  </si>
  <si>
    <t>Тех.обслуживание тех.узла системы теплоснабжения по договору</t>
  </si>
  <si>
    <t xml:space="preserve">Содержание и ремонт автоматических ворот, шлагбаума,видео </t>
  </si>
  <si>
    <t>4 кв 2017</t>
  </si>
  <si>
    <t>тек ремонт материлы, покраска и текущий ремонт детской площадки</t>
  </si>
  <si>
    <t>Связь, почта, размещение объявлений</t>
  </si>
  <si>
    <t>Хоз.нужды, эл/энергия</t>
  </si>
  <si>
    <r>
      <t xml:space="preserve">Непредвиденные расходы </t>
    </r>
    <r>
      <rPr>
        <b/>
        <sz val="8"/>
        <color theme="1"/>
        <rFont val="Calibri"/>
        <family val="2"/>
        <charset val="204"/>
        <scheme val="minor"/>
      </rPr>
      <t>возмещение ущерба за повреждение а/м (блоки)</t>
    </r>
  </si>
  <si>
    <t>Заработная плата ( с НДФЛ)в т.ч. уборка подъездов)</t>
  </si>
  <si>
    <t>Материалы, хоз, элетротовары, наклейки, инвентарь, доводчики</t>
  </si>
  <si>
    <t>Аварийная Подпорная стена у ТЦ Кропоткинский-100т.р., ограждение территрии дома со стороны стоянки и отвод воды-192т.р.. Аварийная подпорная стена со стороны ул Кропоткина-207т.р.</t>
  </si>
  <si>
    <t>Выручка от сбора от благоустройства территории</t>
  </si>
  <si>
    <t>Выручка прочая(пени, отключение стояков, антена)</t>
  </si>
  <si>
    <t>Обслуживание ПО, катридж, копии , СБИС,сайт, канцтовары</t>
  </si>
  <si>
    <t>Подготовка системы отопления к отопительному сезону(промывка, опрессовка)</t>
  </si>
  <si>
    <t>ИТОГО Финансовый результат</t>
  </si>
  <si>
    <t>1.1.8</t>
  </si>
  <si>
    <t>2.2.2</t>
  </si>
  <si>
    <t>2.3.4</t>
  </si>
  <si>
    <t>Озеленение территории дома, хоз инвентарь</t>
  </si>
  <si>
    <t>Отчет  ДОХОДОВ И РАСХОДОВ ТСЖ "КРОПОТКИНА 261"за   2017г                                       (жилищно-коммунальные услуги)</t>
  </si>
  <si>
    <t>Отчет  ПРОЧИХ ДОХОДОВ И РАСХОДОВ за 2017г ТСЖ Кропоткина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</si>
</sst>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01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/>
    <xf numFmtId="3" fontId="5" fillId="0" borderId="1" xfId="0" applyNumberFormat="1" applyFont="1" applyBorder="1"/>
    <xf numFmtId="3" fontId="4" fillId="0" borderId="1" xfId="0" applyNumberFormat="1" applyFont="1" applyBorder="1"/>
    <xf numFmtId="3" fontId="4" fillId="2" borderId="1" xfId="0" applyNumberFormat="1" applyFont="1" applyFill="1" applyBorder="1"/>
    <xf numFmtId="3" fontId="4" fillId="2" borderId="0" xfId="0" applyNumberFormat="1" applyFont="1" applyFill="1" applyBorder="1"/>
    <xf numFmtId="49" fontId="4" fillId="0" borderId="1" xfId="0" applyNumberFormat="1" applyFont="1" applyBorder="1"/>
    <xf numFmtId="3" fontId="5" fillId="2" borderId="1" xfId="0" applyNumberFormat="1" applyFont="1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 applyAlignment="1">
      <alignment wrapText="1"/>
    </xf>
    <xf numFmtId="0" fontId="4" fillId="0" borderId="1" xfId="0" applyFont="1" applyFill="1" applyBorder="1"/>
    <xf numFmtId="0" fontId="4" fillId="2" borderId="0" xfId="0" applyFont="1" applyFill="1"/>
    <xf numFmtId="0" fontId="9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5" fillId="0" borderId="0" xfId="0" applyNumberFormat="1" applyFont="1"/>
    <xf numFmtId="0" fontId="10" fillId="0" borderId="1" xfId="0" applyFont="1" applyBorder="1"/>
    <xf numFmtId="2" fontId="4" fillId="0" borderId="0" xfId="0" applyNumberFormat="1" applyFont="1"/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3" fontId="10" fillId="2" borderId="1" xfId="0" applyNumberFormat="1" applyFont="1" applyFill="1" applyBorder="1"/>
    <xf numFmtId="0" fontId="4" fillId="0" borderId="0" xfId="0" applyFont="1" applyBorder="1"/>
    <xf numFmtId="2" fontId="4" fillId="0" borderId="1" xfId="0" applyNumberFormat="1" applyFont="1" applyBorder="1"/>
    <xf numFmtId="0" fontId="11" fillId="0" borderId="0" xfId="0" applyFont="1" applyAlignment="1">
      <alignment horizontal="left"/>
    </xf>
    <xf numFmtId="3" fontId="11" fillId="0" borderId="1" xfId="0" applyNumberFormat="1" applyFont="1" applyBorder="1" applyAlignment="1">
      <alignment wrapText="1"/>
    </xf>
    <xf numFmtId="3" fontId="11" fillId="2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3" fontId="4" fillId="0" borderId="0" xfId="0" applyNumberFormat="1" applyFont="1"/>
    <xf numFmtId="0" fontId="5" fillId="0" borderId="1" xfId="0" applyFont="1" applyBorder="1" applyAlignment="1">
      <alignment wrapText="1"/>
    </xf>
    <xf numFmtId="3" fontId="0" fillId="0" borderId="0" xfId="0" applyNumberFormat="1"/>
    <xf numFmtId="2" fontId="5" fillId="0" borderId="0" xfId="0" applyNumberFormat="1" applyFont="1"/>
    <xf numFmtId="0" fontId="5" fillId="0" borderId="0" xfId="0" applyFont="1"/>
    <xf numFmtId="3" fontId="10" fillId="0" borderId="1" xfId="0" applyNumberFormat="1" applyFont="1" applyBorder="1"/>
    <xf numFmtId="3" fontId="9" fillId="2" borderId="1" xfId="0" applyNumberFormat="1" applyFont="1" applyFill="1" applyBorder="1"/>
    <xf numFmtId="3" fontId="0" fillId="2" borderId="1" xfId="0" applyNumberFormat="1" applyFill="1" applyBorder="1"/>
    <xf numFmtId="4" fontId="0" fillId="0" borderId="1" xfId="0" applyNumberFormat="1" applyBorder="1"/>
    <xf numFmtId="4" fontId="9" fillId="0" borderId="1" xfId="0" applyNumberFormat="1" applyFont="1" applyBorder="1"/>
    <xf numFmtId="3" fontId="5" fillId="4" borderId="1" xfId="0" applyNumberFormat="1" applyFont="1" applyFill="1" applyBorder="1"/>
    <xf numFmtId="4" fontId="4" fillId="0" borderId="0" xfId="0" applyNumberFormat="1" applyFont="1"/>
    <xf numFmtId="4" fontId="9" fillId="4" borderId="1" xfId="0" applyNumberFormat="1" applyFont="1" applyFill="1" applyBorder="1"/>
    <xf numFmtId="4" fontId="13" fillId="4" borderId="1" xfId="1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4" borderId="1" xfId="0" applyNumberFormat="1" applyFont="1" applyFill="1" applyBorder="1"/>
    <xf numFmtId="4" fontId="4" fillId="0" borderId="1" xfId="0" applyNumberFormat="1" applyFont="1" applyBorder="1"/>
    <xf numFmtId="4" fontId="4" fillId="2" borderId="1" xfId="0" applyNumberFormat="1" applyFont="1" applyFill="1" applyBorder="1"/>
    <xf numFmtId="4" fontId="9" fillId="2" borderId="1" xfId="0" applyNumberFormat="1" applyFont="1" applyFill="1" applyBorder="1"/>
    <xf numFmtId="4" fontId="0" fillId="2" borderId="4" xfId="0" applyNumberFormat="1" applyFill="1" applyBorder="1"/>
    <xf numFmtId="4" fontId="0" fillId="2" borderId="1" xfId="0" applyNumberFormat="1" applyFill="1" applyBorder="1"/>
    <xf numFmtId="0" fontId="4" fillId="0" borderId="0" xfId="0" applyFont="1" applyAlignment="1">
      <alignment horizontal="center"/>
    </xf>
    <xf numFmtId="0" fontId="4" fillId="0" borderId="5" xfId="0" applyFont="1" applyBorder="1"/>
    <xf numFmtId="4" fontId="4" fillId="0" borderId="4" xfId="0" applyNumberFormat="1" applyFont="1" applyBorder="1"/>
    <xf numFmtId="0" fontId="4" fillId="0" borderId="4" xfId="0" applyFont="1" applyBorder="1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2" borderId="1" xfId="0" applyNumberFormat="1" applyFont="1" applyFill="1" applyBorder="1"/>
    <xf numFmtId="0" fontId="9" fillId="0" borderId="1" xfId="0" applyFont="1" applyFill="1" applyBorder="1" applyAlignment="1">
      <alignment horizontal="center" vertical="center"/>
    </xf>
    <xf numFmtId="4" fontId="0" fillId="0" borderId="3" xfId="0" applyNumberFormat="1" applyBorder="1"/>
    <xf numFmtId="3" fontId="4" fillId="2" borderId="5" xfId="0" applyNumberFormat="1" applyFont="1" applyFill="1" applyBorder="1"/>
    <xf numFmtId="4" fontId="0" fillId="0" borderId="5" xfId="0" applyNumberFormat="1" applyBorder="1"/>
    <xf numFmtId="4" fontId="0" fillId="2" borderId="5" xfId="0" applyNumberFormat="1" applyFill="1" applyBorder="1"/>
    <xf numFmtId="4" fontId="0" fillId="0" borderId="0" xfId="0" applyNumberFormat="1"/>
    <xf numFmtId="4" fontId="0" fillId="2" borderId="1" xfId="0" applyNumberFormat="1" applyFont="1" applyFill="1" applyBorder="1"/>
    <xf numFmtId="4" fontId="1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/>
    <xf numFmtId="0" fontId="6" fillId="2" borderId="1" xfId="0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10" fillId="2" borderId="1" xfId="0" applyFont="1" applyFill="1" applyBorder="1"/>
    <xf numFmtId="3" fontId="13" fillId="0" borderId="1" xfId="1" applyNumberFormat="1" applyFont="1" applyBorder="1" applyAlignment="1">
      <alignment horizontal="right" vertical="top" wrapText="1"/>
    </xf>
    <xf numFmtId="3" fontId="4" fillId="0" borderId="4" xfId="0" applyNumberFormat="1" applyFont="1" applyBorder="1"/>
    <xf numFmtId="3" fontId="13" fillId="2" borderId="1" xfId="0" applyNumberFormat="1" applyFont="1" applyFill="1" applyBorder="1"/>
    <xf numFmtId="3" fontId="13" fillId="2" borderId="1" xfId="1" applyNumberFormat="1" applyFont="1" applyFill="1" applyBorder="1" applyAlignment="1">
      <alignment horizontal="right" vertical="top" wrapText="1"/>
    </xf>
    <xf numFmtId="3" fontId="13" fillId="0" borderId="1" xfId="0" applyNumberFormat="1" applyFont="1" applyFill="1" applyBorder="1"/>
    <xf numFmtId="3" fontId="3" fillId="2" borderId="1" xfId="0" applyNumberFormat="1" applyFont="1" applyFill="1" applyBorder="1"/>
    <xf numFmtId="3" fontId="0" fillId="0" borderId="4" xfId="0" applyNumberFormat="1" applyBorder="1"/>
    <xf numFmtId="3" fontId="4" fillId="2" borderId="0" xfId="0" applyNumberFormat="1" applyFont="1" applyFill="1"/>
    <xf numFmtId="3" fontId="0" fillId="2" borderId="4" xfId="0" applyNumberFormat="1" applyFill="1" applyBorder="1"/>
    <xf numFmtId="3" fontId="0" fillId="2" borderId="0" xfId="0" applyNumberFormat="1" applyFill="1"/>
    <xf numFmtId="0" fontId="4" fillId="2" borderId="5" xfId="0" applyFont="1" applyFill="1" applyBorder="1"/>
    <xf numFmtId="3" fontId="2" fillId="2" borderId="1" xfId="0" applyNumberFormat="1" applyFont="1" applyFill="1" applyBorder="1"/>
    <xf numFmtId="0" fontId="11" fillId="2" borderId="1" xfId="0" applyFont="1" applyFill="1" applyBorder="1"/>
    <xf numFmtId="0" fontId="0" fillId="2" borderId="0" xfId="0" applyFill="1"/>
    <xf numFmtId="0" fontId="0" fillId="2" borderId="1" xfId="0" applyFill="1" applyBorder="1"/>
    <xf numFmtId="3" fontId="1" fillId="2" borderId="1" xfId="0" applyNumberFormat="1" applyFont="1" applyFill="1" applyBorder="1"/>
    <xf numFmtId="0" fontId="1" fillId="2" borderId="0" xfId="0" applyFont="1" applyFill="1"/>
    <xf numFmtId="3" fontId="1" fillId="2" borderId="5" xfId="0" applyNumberFormat="1" applyFont="1" applyFill="1" applyBorder="1"/>
    <xf numFmtId="4" fontId="1" fillId="2" borderId="5" xfId="0" applyNumberFormat="1" applyFont="1" applyFill="1" applyBorder="1"/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_БДР" xfId="1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6;&#1054;&#1055;&#1054;&#1058;&#1050;&#1048;&#1053;&#1040;\1%20&#1058;&#1057;&#1046;\&#1043;&#1086;&#1083;&#1086;&#1089;&#1086;&#1074;&#1072;&#1085;&#1080;&#1077;%202015&#1075;\&#1055;&#1040;&#1050;&#1045;&#1058;%20&#1085;&#1072;%20&#1075;&#1086;&#1083;&#1086;&#1089;&#1086;&#1074;&#1072;&#1085;&#1080;&#1077;%2006.04.2015\&#1055;&#1083;&#1072;&#1085;%20&#1088;&#1072;&#1073;&#1086;&#1090;&#1099;%202015%2001.04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Общая форма 2"/>
      <sheetName val="Смета"/>
      <sheetName val="факт 2015"/>
      <sheetName val="ШР"/>
      <sheetName val="тарифы"/>
      <sheetName val="Лист1"/>
      <sheetName val="ШР 2015"/>
    </sheetNames>
    <sheetDataSet>
      <sheetData sheetId="0"/>
      <sheetData sheetId="1"/>
      <sheetData sheetId="2"/>
      <sheetData sheetId="3"/>
      <sheetData sheetId="4">
        <row r="15">
          <cell r="F15">
            <v>1167250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7" workbookViewId="0">
      <selection activeCell="Q45" sqref="Q45"/>
    </sheetView>
  </sheetViews>
  <sheetFormatPr defaultColWidth="9.109375" defaultRowHeight="13.8" x14ac:dyDescent="0.3"/>
  <cols>
    <col min="1" max="1" width="5.88671875" style="1" customWidth="1"/>
    <col min="2" max="2" width="51" style="1" customWidth="1"/>
    <col min="3" max="3" width="7.5546875" style="1" hidden="1" customWidth="1"/>
    <col min="4" max="4" width="7.33203125" style="1" hidden="1" customWidth="1"/>
    <col min="5" max="5" width="9.6640625" style="1" hidden="1" customWidth="1"/>
    <col min="6" max="6" width="6.44140625" style="1" hidden="1" customWidth="1"/>
    <col min="7" max="7" width="12.33203125" style="1" customWidth="1"/>
    <col min="8" max="12" width="9.109375" style="1" hidden="1" customWidth="1"/>
    <col min="13" max="13" width="9.109375" style="1"/>
    <col min="14" max="14" width="10.5546875" style="1" bestFit="1" customWidth="1"/>
    <col min="15" max="16384" width="9.109375" style="1"/>
  </cols>
  <sheetData>
    <row r="1" spans="1:15" ht="32.25" customHeight="1" x14ac:dyDescent="0.3">
      <c r="B1" s="97" t="s">
        <v>169</v>
      </c>
      <c r="C1" s="97"/>
      <c r="D1" s="97"/>
    </row>
    <row r="2" spans="1:15" ht="27" customHeight="1" x14ac:dyDescent="0.3">
      <c r="A2" s="2" t="s">
        <v>0</v>
      </c>
      <c r="B2" s="5" t="s">
        <v>1</v>
      </c>
      <c r="C2" s="3" t="s">
        <v>2</v>
      </c>
      <c r="D2" s="33" t="s">
        <v>90</v>
      </c>
      <c r="E2" s="33" t="s">
        <v>92</v>
      </c>
      <c r="F2" s="33" t="s">
        <v>91</v>
      </c>
      <c r="G2" s="33" t="s">
        <v>93</v>
      </c>
      <c r="I2" s="1">
        <v>10251</v>
      </c>
      <c r="J2" s="1" t="s">
        <v>126</v>
      </c>
      <c r="K2" s="1" t="s">
        <v>127</v>
      </c>
      <c r="M2" s="33" t="s">
        <v>170</v>
      </c>
      <c r="N2" s="33" t="s">
        <v>91</v>
      </c>
      <c r="O2" s="33" t="s">
        <v>171</v>
      </c>
    </row>
    <row r="3" spans="1:15" ht="27" customHeight="1" x14ac:dyDescent="0.3">
      <c r="A3" s="2"/>
      <c r="B3" s="5" t="s">
        <v>178</v>
      </c>
      <c r="C3" s="3"/>
      <c r="D3" s="33"/>
      <c r="E3" s="33"/>
      <c r="F3" s="33"/>
      <c r="G3" s="23" t="e">
        <f>G4+G9+G10</f>
        <v>#REF!</v>
      </c>
      <c r="H3" s="23" t="e">
        <f t="shared" ref="H3:N3" si="0">H4+H9+H10</f>
        <v>#REF!</v>
      </c>
      <c r="I3" s="23" t="e">
        <f t="shared" si="0"/>
        <v>#REF!</v>
      </c>
      <c r="J3" s="23" t="e">
        <f t="shared" si="0"/>
        <v>#REF!</v>
      </c>
      <c r="K3" s="23" t="e">
        <f t="shared" si="0"/>
        <v>#REF!</v>
      </c>
      <c r="L3" s="23">
        <f t="shared" si="0"/>
        <v>0</v>
      </c>
      <c r="M3" s="23">
        <f t="shared" si="0"/>
        <v>3634.5838800000001</v>
      </c>
      <c r="N3" s="23" t="e">
        <f t="shared" si="0"/>
        <v>#REF!</v>
      </c>
      <c r="O3" s="22"/>
    </row>
    <row r="4" spans="1:15" x14ac:dyDescent="0.3">
      <c r="A4" s="4" t="s">
        <v>3</v>
      </c>
      <c r="B4" s="5" t="s">
        <v>4</v>
      </c>
      <c r="C4" s="6">
        <f>C5+C6+C7+C8+C1</f>
        <v>2465.6190000000001</v>
      </c>
      <c r="D4" s="6">
        <f>D5+D6+D7+D8+D1</f>
        <v>2592.1999999999998</v>
      </c>
      <c r="E4" s="6">
        <f>E5+E6+E7+E8</f>
        <v>2606.567</v>
      </c>
      <c r="F4" s="7">
        <f>E4-D4</f>
        <v>14.367000000000189</v>
      </c>
      <c r="G4" s="6" t="e">
        <f>G5+G6+G7+G8</f>
        <v>#REF!</v>
      </c>
      <c r="H4" s="6" t="e">
        <f t="shared" ref="H4:M4" si="1">H5+H6+H7+H8</f>
        <v>#REF!</v>
      </c>
      <c r="I4" s="6" t="e">
        <f t="shared" si="1"/>
        <v>#REF!</v>
      </c>
      <c r="J4" s="6" t="e">
        <f t="shared" si="1"/>
        <v>#REF!</v>
      </c>
      <c r="K4" s="6" t="e">
        <f t="shared" si="1"/>
        <v>#REF!</v>
      </c>
      <c r="L4" s="6">
        <f t="shared" si="1"/>
        <v>0</v>
      </c>
      <c r="M4" s="6">
        <f t="shared" si="1"/>
        <v>2976.8838799999999</v>
      </c>
      <c r="N4" s="6" t="e">
        <f>M4-G4</f>
        <v>#REF!</v>
      </c>
      <c r="O4" s="5"/>
    </row>
    <row r="5" spans="1:15" x14ac:dyDescent="0.3">
      <c r="A5" s="4" t="s">
        <v>5</v>
      </c>
      <c r="B5" s="2" t="s">
        <v>6</v>
      </c>
      <c r="C5" s="7">
        <v>136.44399999999999</v>
      </c>
      <c r="D5" s="8">
        <f>D15</f>
        <v>188.2</v>
      </c>
      <c r="E5" s="8">
        <v>173.14</v>
      </c>
      <c r="F5" s="7">
        <f t="shared" ref="F5:F60" si="2">E5-D5</f>
        <v>-15.060000000000002</v>
      </c>
      <c r="G5" s="8">
        <v>199</v>
      </c>
      <c r="H5" s="19">
        <f>G5-E5</f>
        <v>25.860000000000014</v>
      </c>
      <c r="I5" s="21">
        <f>H5/I2/9*1000</f>
        <v>0.28029785711963079</v>
      </c>
      <c r="J5" s="21">
        <f>I5*80</f>
        <v>22.423828569570464</v>
      </c>
      <c r="K5" s="21">
        <f>1.62+I5</f>
        <v>1.900297857119631</v>
      </c>
      <c r="M5" s="7">
        <f>182.63823+16.605</f>
        <v>199.24322999999998</v>
      </c>
      <c r="N5" s="7">
        <f t="shared" ref="N5:N60" si="3">M5-G5</f>
        <v>0.24322999999998274</v>
      </c>
      <c r="O5" s="2"/>
    </row>
    <row r="6" spans="1:15" x14ac:dyDescent="0.3">
      <c r="A6" s="4" t="s">
        <v>7</v>
      </c>
      <c r="B6" s="2" t="s">
        <v>8</v>
      </c>
      <c r="C6" s="7">
        <v>427.08600000000001</v>
      </c>
      <c r="D6" s="7">
        <v>427</v>
      </c>
      <c r="E6" s="7">
        <v>454.8</v>
      </c>
      <c r="F6" s="7">
        <f t="shared" si="2"/>
        <v>27.800000000000011</v>
      </c>
      <c r="G6" s="8">
        <f>G18</f>
        <v>499</v>
      </c>
      <c r="H6" s="19">
        <f>G6-E6</f>
        <v>44.199999999999989</v>
      </c>
      <c r="I6" s="21">
        <f>H6/I2/9*1000</f>
        <v>0.47908605122535458</v>
      </c>
      <c r="J6" s="21">
        <f>I6*80</f>
        <v>38.326884098028366</v>
      </c>
      <c r="K6" s="21">
        <f>3.7+I6</f>
        <v>4.1790860512253545</v>
      </c>
      <c r="M6" s="7">
        <f>456.4941+42.84737</f>
        <v>499.34147000000002</v>
      </c>
      <c r="N6" s="7">
        <f t="shared" si="3"/>
        <v>0.34147000000001526</v>
      </c>
      <c r="O6" s="2"/>
    </row>
    <row r="7" spans="1:15" x14ac:dyDescent="0.3">
      <c r="A7" s="4" t="s">
        <v>9</v>
      </c>
      <c r="B7" s="2" t="s">
        <v>174</v>
      </c>
      <c r="C7" s="7">
        <v>1795.182</v>
      </c>
      <c r="D7" s="7">
        <v>1795</v>
      </c>
      <c r="E7" s="7">
        <v>1844.797</v>
      </c>
      <c r="F7" s="7">
        <f t="shared" si="2"/>
        <v>49.797000000000025</v>
      </c>
      <c r="G7" s="8" t="e">
        <f>G32</f>
        <v>#REF!</v>
      </c>
      <c r="H7" s="19" t="e">
        <f>G7-E7</f>
        <v>#REF!</v>
      </c>
      <c r="I7" s="21" t="e">
        <f>H7/I2/9*1000</f>
        <v>#REF!</v>
      </c>
      <c r="J7" s="21" t="e">
        <f t="shared" ref="J7:J8" si="4">I7*80</f>
        <v>#REF!</v>
      </c>
      <c r="K7" s="21" t="e">
        <f>15+I7</f>
        <v>#REF!</v>
      </c>
      <c r="M7" s="7">
        <f>1845.76655+35.64+173.05732+3.24</f>
        <v>2057.7038699999998</v>
      </c>
      <c r="N7" s="7" t="e">
        <f t="shared" si="3"/>
        <v>#REF!</v>
      </c>
      <c r="O7" s="2"/>
    </row>
    <row r="8" spans="1:15" x14ac:dyDescent="0.3">
      <c r="A8" s="4" t="s">
        <v>11</v>
      </c>
      <c r="B8" s="2" t="s">
        <v>12</v>
      </c>
      <c r="C8" s="7">
        <v>106.907</v>
      </c>
      <c r="D8" s="7">
        <f>D55</f>
        <v>182</v>
      </c>
      <c r="E8" s="7">
        <v>133.83000000000001</v>
      </c>
      <c r="F8" s="7">
        <f t="shared" si="2"/>
        <v>-48.169999999999987</v>
      </c>
      <c r="G8" s="8">
        <f>G55</f>
        <v>221.202</v>
      </c>
      <c r="H8" s="19">
        <f>G8-E8</f>
        <v>87.371999999999986</v>
      </c>
      <c r="I8" s="21">
        <f>H8/I2/9*1000</f>
        <v>0.94702955809189338</v>
      </c>
      <c r="J8" s="21">
        <f t="shared" si="4"/>
        <v>75.762364647351475</v>
      </c>
      <c r="K8" s="21">
        <f>1.51+I8</f>
        <v>2.4570295580918935</v>
      </c>
      <c r="M8" s="7">
        <f>201.21553+19.37978</f>
        <v>220.59531000000001</v>
      </c>
      <c r="N8" s="7">
        <f t="shared" si="3"/>
        <v>-0.60668999999998618</v>
      </c>
      <c r="O8" s="2"/>
    </row>
    <row r="9" spans="1:15" ht="14.4" x14ac:dyDescent="0.3">
      <c r="A9" s="2" t="s">
        <v>13</v>
      </c>
      <c r="B9" s="5" t="s">
        <v>129</v>
      </c>
      <c r="C9" s="8">
        <v>29.7</v>
      </c>
      <c r="D9" s="8"/>
      <c r="E9" s="8">
        <f>3.5+1.149+8.34631-0.82103+3.967-0.576</f>
        <v>15.565279999999998</v>
      </c>
      <c r="F9" s="8">
        <v>10</v>
      </c>
      <c r="G9" s="11">
        <v>10</v>
      </c>
      <c r="H9" s="16"/>
      <c r="I9" s="35"/>
      <c r="J9" s="35"/>
      <c r="K9" s="35"/>
      <c r="L9" s="36"/>
      <c r="M9" s="16"/>
      <c r="N9" s="6"/>
      <c r="O9" s="5"/>
    </row>
    <row r="10" spans="1:15" x14ac:dyDescent="0.3">
      <c r="A10" s="2" t="s">
        <v>15</v>
      </c>
      <c r="B10" s="5" t="s">
        <v>16</v>
      </c>
      <c r="C10" s="8">
        <f>C11+C12</f>
        <v>432.483</v>
      </c>
      <c r="D10" s="8">
        <f>D11+D12+D13</f>
        <v>800.25</v>
      </c>
      <c r="E10" s="8">
        <f t="shared" ref="E10" si="5">E11+E12+E13</f>
        <v>743.18799999999999</v>
      </c>
      <c r="F10" s="8">
        <f>F11+F12+F13</f>
        <v>815</v>
      </c>
      <c r="G10" s="11">
        <f>SUM(G11:G13)</f>
        <v>815</v>
      </c>
      <c r="H10" s="11">
        <f t="shared" ref="H10:O10" si="6">SUM(H11:H13)</f>
        <v>657.7</v>
      </c>
      <c r="I10" s="11">
        <f t="shared" si="6"/>
        <v>0</v>
      </c>
      <c r="J10" s="11">
        <f t="shared" si="6"/>
        <v>0</v>
      </c>
      <c r="K10" s="11">
        <f t="shared" si="6"/>
        <v>0</v>
      </c>
      <c r="L10" s="11">
        <f t="shared" si="6"/>
        <v>0</v>
      </c>
      <c r="M10" s="11">
        <f t="shared" si="6"/>
        <v>657.7</v>
      </c>
      <c r="N10" s="11">
        <f t="shared" si="6"/>
        <v>0</v>
      </c>
      <c r="O10" s="11">
        <f t="shared" si="6"/>
        <v>0</v>
      </c>
    </row>
    <row r="11" spans="1:15" ht="14.4" x14ac:dyDescent="0.3">
      <c r="A11" s="2" t="s">
        <v>17</v>
      </c>
      <c r="B11" s="2" t="s">
        <v>107</v>
      </c>
      <c r="C11" s="8">
        <v>432.483</v>
      </c>
      <c r="D11" s="8">
        <v>450</v>
      </c>
      <c r="E11" s="8">
        <v>453</v>
      </c>
      <c r="F11" s="8">
        <f>750*51*12/1000</f>
        <v>459</v>
      </c>
      <c r="G11" s="8">
        <f>750*51*12/1000</f>
        <v>459</v>
      </c>
      <c r="H11" s="17">
        <f>422.25+38.25</f>
        <v>460.5</v>
      </c>
      <c r="I11" s="21"/>
      <c r="J11" s="21"/>
      <c r="K11" s="21"/>
      <c r="M11" s="17">
        <f>422.25+38.25</f>
        <v>460.5</v>
      </c>
      <c r="N11" s="7"/>
      <c r="O11" s="2"/>
    </row>
    <row r="12" spans="1:15" ht="14.4" x14ac:dyDescent="0.3">
      <c r="A12" s="2" t="s">
        <v>132</v>
      </c>
      <c r="B12" s="2" t="s">
        <v>108</v>
      </c>
      <c r="C12" s="8"/>
      <c r="D12" s="8">
        <v>180.25</v>
      </c>
      <c r="E12" s="8">
        <v>126.6</v>
      </c>
      <c r="F12" s="8">
        <f>0.2*80*12</f>
        <v>192</v>
      </c>
      <c r="G12" s="8">
        <f>0.2*80*12</f>
        <v>192</v>
      </c>
      <c r="H12" s="17">
        <f>180.8+16.4</f>
        <v>197.20000000000002</v>
      </c>
      <c r="I12" s="21"/>
      <c r="J12" s="21"/>
      <c r="K12" s="21"/>
      <c r="M12" s="17">
        <f>180.8+16.4</f>
        <v>197.20000000000002</v>
      </c>
      <c r="N12" s="7"/>
      <c r="O12" s="2"/>
    </row>
    <row r="13" spans="1:15" ht="14.4" x14ac:dyDescent="0.3">
      <c r="A13" s="2" t="s">
        <v>133</v>
      </c>
      <c r="B13" s="25" t="s">
        <v>131</v>
      </c>
      <c r="C13" s="8"/>
      <c r="D13" s="8">
        <v>170</v>
      </c>
      <c r="E13" s="8">
        <v>163.58799999999999</v>
      </c>
      <c r="F13" s="8">
        <v>164</v>
      </c>
      <c r="G13" s="8">
        <v>164</v>
      </c>
      <c r="H13" s="17"/>
      <c r="I13" s="21"/>
      <c r="J13" s="21"/>
      <c r="K13" s="21"/>
      <c r="M13" s="17"/>
      <c r="N13" s="7"/>
      <c r="O13" s="2"/>
    </row>
    <row r="14" spans="1:15" ht="15.6" x14ac:dyDescent="0.3">
      <c r="A14" s="10" t="s">
        <v>18</v>
      </c>
      <c r="B14" s="5" t="s">
        <v>19</v>
      </c>
      <c r="C14" s="6">
        <f>C15+C18+C32+C55</f>
        <v>2627.9869999999996</v>
      </c>
      <c r="D14" s="6">
        <f t="shared" ref="D14:M14" si="7">D15+D18+D32+D55+D57</f>
        <v>3022.8500000000004</v>
      </c>
      <c r="E14" s="6">
        <f t="shared" si="7"/>
        <v>2868.1315000000004</v>
      </c>
      <c r="F14" s="6">
        <f t="shared" si="7"/>
        <v>-154.71849999999984</v>
      </c>
      <c r="G14" s="37" t="e">
        <f t="shared" si="7"/>
        <v>#REF!</v>
      </c>
      <c r="H14" s="37">
        <f t="shared" si="7"/>
        <v>483.00099999999998</v>
      </c>
      <c r="I14" s="37">
        <f t="shared" si="7"/>
        <v>0</v>
      </c>
      <c r="J14" s="37">
        <f t="shared" si="7"/>
        <v>0</v>
      </c>
      <c r="K14" s="37">
        <f t="shared" si="7"/>
        <v>0</v>
      </c>
      <c r="L14" s="37">
        <f t="shared" si="7"/>
        <v>0</v>
      </c>
      <c r="M14" s="37">
        <f t="shared" si="7"/>
        <v>3402.90031</v>
      </c>
      <c r="N14" s="37" t="e">
        <f t="shared" si="3"/>
        <v>#REF!</v>
      </c>
      <c r="O14" s="37" t="e">
        <f>O15+O18+O32+O55+O57</f>
        <v>#REF!</v>
      </c>
    </row>
    <row r="15" spans="1:15" ht="10.5" customHeight="1" x14ac:dyDescent="0.3">
      <c r="A15" s="10" t="s">
        <v>20</v>
      </c>
      <c r="B15" s="5" t="s">
        <v>21</v>
      </c>
      <c r="C15" s="11">
        <f>C16+C17</f>
        <v>138.32</v>
      </c>
      <c r="D15" s="11">
        <f>D16+D17</f>
        <v>188.2</v>
      </c>
      <c r="E15" s="11">
        <v>181</v>
      </c>
      <c r="F15" s="7">
        <f t="shared" si="2"/>
        <v>-7.1999999999999886</v>
      </c>
      <c r="G15" s="11">
        <v>199</v>
      </c>
      <c r="I15" s="21"/>
      <c r="J15" s="21"/>
      <c r="M15" s="12">
        <f>158.48</f>
        <v>158.47999999999999</v>
      </c>
      <c r="N15" s="7">
        <f t="shared" si="3"/>
        <v>-40.52000000000001</v>
      </c>
      <c r="O15" s="2"/>
    </row>
    <row r="16" spans="1:15" ht="12.75" hidden="1" customHeight="1" x14ac:dyDescent="0.3">
      <c r="A16" s="10" t="s">
        <v>22</v>
      </c>
      <c r="B16" s="2" t="s">
        <v>23</v>
      </c>
      <c r="C16" s="8">
        <v>134.22</v>
      </c>
      <c r="D16" s="8">
        <f>14.85*12+2</f>
        <v>180.2</v>
      </c>
      <c r="E16" s="8">
        <f>28.83727+7.425+15.345*3+14.85+15.345*4+16.85+14.85</f>
        <v>190.22726999999998</v>
      </c>
      <c r="F16" s="7">
        <f t="shared" si="2"/>
        <v>10.027269999999987</v>
      </c>
      <c r="G16" s="8"/>
      <c r="M16" s="7"/>
      <c r="N16" s="7">
        <f t="shared" si="3"/>
        <v>0</v>
      </c>
      <c r="O16" s="2"/>
    </row>
    <row r="17" spans="1:15" ht="12.75" hidden="1" customHeight="1" x14ac:dyDescent="0.3">
      <c r="A17" s="10" t="s">
        <v>24</v>
      </c>
      <c r="B17" s="2" t="s">
        <v>25</v>
      </c>
      <c r="C17" s="8">
        <v>4.0999999999999996</v>
      </c>
      <c r="D17" s="8">
        <v>8</v>
      </c>
      <c r="E17" s="8">
        <f>2.2</f>
        <v>2.2000000000000002</v>
      </c>
      <c r="F17" s="7">
        <f t="shared" si="2"/>
        <v>-5.8</v>
      </c>
      <c r="G17" s="8"/>
      <c r="M17" s="7"/>
      <c r="N17" s="7">
        <f t="shared" si="3"/>
        <v>0</v>
      </c>
      <c r="O17" s="2"/>
    </row>
    <row r="18" spans="1:15" x14ac:dyDescent="0.3">
      <c r="A18" s="10" t="s">
        <v>26</v>
      </c>
      <c r="B18" s="5" t="s">
        <v>27</v>
      </c>
      <c r="C18" s="11">
        <f>SUM(C19:C31)</f>
        <v>606.60699999999997</v>
      </c>
      <c r="D18" s="11">
        <f>SUM(D19:D31)</f>
        <v>562.5</v>
      </c>
      <c r="E18" s="11">
        <f>SUM(E19:E31)</f>
        <v>284.38449000000003</v>
      </c>
      <c r="F18" s="7">
        <f t="shared" si="2"/>
        <v>-278.11550999999997</v>
      </c>
      <c r="G18" s="11">
        <f t="shared" ref="G18:M18" si="8">SUM(G19:G31)</f>
        <v>499</v>
      </c>
      <c r="H18" s="11">
        <f t="shared" si="8"/>
        <v>0</v>
      </c>
      <c r="I18" s="11">
        <f t="shared" si="8"/>
        <v>0</v>
      </c>
      <c r="J18" s="11">
        <f t="shared" si="8"/>
        <v>0</v>
      </c>
      <c r="K18" s="11">
        <f t="shared" si="8"/>
        <v>0</v>
      </c>
      <c r="L18" s="11">
        <f t="shared" si="8"/>
        <v>0</v>
      </c>
      <c r="M18" s="11">
        <f t="shared" si="8"/>
        <v>563.02263999999991</v>
      </c>
      <c r="N18" s="7">
        <f t="shared" si="3"/>
        <v>64.02263999999991</v>
      </c>
      <c r="O18" s="2"/>
    </row>
    <row r="19" spans="1:15" hidden="1" x14ac:dyDescent="0.3">
      <c r="A19" s="10" t="s">
        <v>28</v>
      </c>
      <c r="B19" s="2" t="s">
        <v>29</v>
      </c>
      <c r="C19" s="8"/>
      <c r="D19" s="8">
        <v>71</v>
      </c>
      <c r="E19" s="8">
        <v>71.286299999999997</v>
      </c>
      <c r="F19" s="7">
        <f t="shared" si="2"/>
        <v>0.28629999999999711</v>
      </c>
      <c r="G19" s="8"/>
      <c r="M19" s="7"/>
      <c r="N19" s="7">
        <f t="shared" si="3"/>
        <v>0</v>
      </c>
      <c r="O19" s="2"/>
    </row>
    <row r="20" spans="1:15" hidden="1" x14ac:dyDescent="0.3">
      <c r="A20" s="10" t="s">
        <v>30</v>
      </c>
      <c r="B20" s="2" t="s">
        <v>95</v>
      </c>
      <c r="C20" s="8">
        <v>7.6550000000000002</v>
      </c>
      <c r="D20" s="8">
        <v>1.5</v>
      </c>
      <c r="E20" s="8"/>
      <c r="F20" s="7">
        <f t="shared" si="2"/>
        <v>-1.5</v>
      </c>
      <c r="G20" s="8"/>
      <c r="M20" s="7"/>
      <c r="N20" s="7">
        <f t="shared" si="3"/>
        <v>0</v>
      </c>
      <c r="O20" s="2"/>
    </row>
    <row r="21" spans="1:15" ht="12.75" hidden="1" customHeight="1" x14ac:dyDescent="0.3">
      <c r="A21" s="10" t="s">
        <v>31</v>
      </c>
      <c r="B21" s="2" t="s">
        <v>32</v>
      </c>
      <c r="C21" s="8"/>
      <c r="D21" s="8">
        <v>0</v>
      </c>
      <c r="E21" s="8"/>
      <c r="F21" s="7">
        <f t="shared" si="2"/>
        <v>0</v>
      </c>
      <c r="G21" s="8"/>
      <c r="M21" s="7"/>
      <c r="N21" s="7">
        <f t="shared" si="3"/>
        <v>0</v>
      </c>
      <c r="O21" s="2"/>
    </row>
    <row r="22" spans="1:15" x14ac:dyDescent="0.3">
      <c r="A22" s="10" t="s">
        <v>33</v>
      </c>
      <c r="B22" s="2" t="s">
        <v>34</v>
      </c>
      <c r="C22" s="8">
        <v>78</v>
      </c>
      <c r="D22" s="8">
        <v>52</v>
      </c>
      <c r="E22" s="8">
        <v>34.5</v>
      </c>
      <c r="F22" s="7">
        <f t="shared" si="2"/>
        <v>-17.5</v>
      </c>
      <c r="G22" s="8">
        <v>35</v>
      </c>
      <c r="M22" s="7">
        <v>35.055</v>
      </c>
      <c r="N22" s="7">
        <f t="shared" si="3"/>
        <v>5.4999999999999716E-2</v>
      </c>
      <c r="O22" s="2">
        <v>40</v>
      </c>
    </row>
    <row r="23" spans="1:15" x14ac:dyDescent="0.3">
      <c r="A23" s="10" t="s">
        <v>35</v>
      </c>
      <c r="B23" s="2" t="s">
        <v>96</v>
      </c>
      <c r="C23" s="8">
        <v>287.87200000000001</v>
      </c>
      <c r="D23" s="8">
        <v>300</v>
      </c>
      <c r="E23" s="8"/>
      <c r="F23" s="7">
        <f t="shared" si="2"/>
        <v>-300</v>
      </c>
      <c r="G23" s="8">
        <v>298</v>
      </c>
      <c r="M23" s="7">
        <v>300.67363999999998</v>
      </c>
      <c r="N23" s="7">
        <f t="shared" si="3"/>
        <v>2.6736399999999776</v>
      </c>
      <c r="O23" s="2"/>
    </row>
    <row r="24" spans="1:15" x14ac:dyDescent="0.3">
      <c r="A24" s="10"/>
      <c r="B24" s="2" t="s">
        <v>175</v>
      </c>
      <c r="C24" s="8"/>
      <c r="D24" s="8"/>
      <c r="E24" s="8"/>
      <c r="F24" s="7"/>
      <c r="G24" s="8"/>
      <c r="M24" s="7">
        <v>150</v>
      </c>
      <c r="N24" s="7"/>
      <c r="O24" s="2"/>
    </row>
    <row r="25" spans="1:15" hidden="1" x14ac:dyDescent="0.3">
      <c r="A25" s="10" t="s">
        <v>36</v>
      </c>
      <c r="B25" s="2" t="s">
        <v>37</v>
      </c>
      <c r="C25" s="8">
        <v>174.8</v>
      </c>
      <c r="D25" s="8"/>
      <c r="E25" s="8">
        <f>11.3</f>
        <v>11.3</v>
      </c>
      <c r="F25" s="7">
        <f t="shared" si="2"/>
        <v>11.3</v>
      </c>
      <c r="G25" s="8"/>
      <c r="M25" s="7"/>
      <c r="N25" s="7">
        <f t="shared" si="3"/>
        <v>0</v>
      </c>
      <c r="O25" s="2"/>
    </row>
    <row r="26" spans="1:15" hidden="1" x14ac:dyDescent="0.3">
      <c r="A26" s="10" t="s">
        <v>38</v>
      </c>
      <c r="B26" s="2" t="s">
        <v>39</v>
      </c>
      <c r="C26" s="8">
        <v>15</v>
      </c>
      <c r="D26" s="8"/>
      <c r="E26" s="8">
        <v>1.9450000000000001</v>
      </c>
      <c r="F26" s="7">
        <f t="shared" si="2"/>
        <v>1.9450000000000001</v>
      </c>
      <c r="G26" s="8"/>
      <c r="M26" s="7"/>
      <c r="N26" s="7">
        <f t="shared" si="3"/>
        <v>0</v>
      </c>
      <c r="O26" s="2"/>
    </row>
    <row r="27" spans="1:15" x14ac:dyDescent="0.3">
      <c r="A27" s="10" t="s">
        <v>40</v>
      </c>
      <c r="B27" s="2" t="s">
        <v>146</v>
      </c>
      <c r="C27" s="8"/>
      <c r="D27" s="8">
        <v>15</v>
      </c>
      <c r="E27" s="8">
        <f>10.35+2.034</f>
        <v>12.384</v>
      </c>
      <c r="F27" s="7">
        <f t="shared" si="2"/>
        <v>-2.6159999999999997</v>
      </c>
      <c r="G27" s="8">
        <v>40</v>
      </c>
      <c r="M27" s="7">
        <f>9.196+2.798</f>
        <v>11.994</v>
      </c>
      <c r="N27" s="7">
        <f t="shared" si="3"/>
        <v>-28.006</v>
      </c>
      <c r="O27" s="2"/>
    </row>
    <row r="28" spans="1:15" hidden="1" x14ac:dyDescent="0.3">
      <c r="A28" s="10" t="s">
        <v>42</v>
      </c>
      <c r="B28" s="2" t="s">
        <v>43</v>
      </c>
      <c r="C28" s="8"/>
      <c r="D28" s="8">
        <v>8</v>
      </c>
      <c r="E28" s="8">
        <f>2.899+0.9+4.03</f>
        <v>7.8290000000000006</v>
      </c>
      <c r="F28" s="7">
        <f t="shared" si="2"/>
        <v>-0.17099999999999937</v>
      </c>
      <c r="G28" s="8"/>
      <c r="M28" s="7"/>
      <c r="N28" s="7">
        <f t="shared" si="3"/>
        <v>0</v>
      </c>
      <c r="O28" s="2"/>
    </row>
    <row r="29" spans="1:15" x14ac:dyDescent="0.3">
      <c r="A29" s="10" t="s">
        <v>44</v>
      </c>
      <c r="B29" s="2" t="s">
        <v>172</v>
      </c>
      <c r="C29" s="8"/>
      <c r="D29" s="8">
        <v>100</v>
      </c>
      <c r="E29" s="8">
        <f>99.12124+17.8</f>
        <v>116.92124</v>
      </c>
      <c r="F29" s="7">
        <f t="shared" si="2"/>
        <v>16.921239999999997</v>
      </c>
      <c r="G29" s="8">
        <v>50</v>
      </c>
      <c r="M29" s="7">
        <v>54.3</v>
      </c>
      <c r="N29" s="7">
        <f t="shared" si="3"/>
        <v>4.2999999999999972</v>
      </c>
      <c r="O29" s="2"/>
    </row>
    <row r="30" spans="1:15" x14ac:dyDescent="0.3">
      <c r="A30" s="10" t="s">
        <v>45</v>
      </c>
      <c r="B30" s="2" t="s">
        <v>125</v>
      </c>
      <c r="C30" s="8"/>
      <c r="D30" s="8"/>
      <c r="E30" s="8"/>
      <c r="F30" s="7">
        <f t="shared" si="2"/>
        <v>0</v>
      </c>
      <c r="G30" s="8">
        <v>76</v>
      </c>
      <c r="M30" s="7">
        <v>11</v>
      </c>
      <c r="N30" s="7">
        <f t="shared" si="3"/>
        <v>-65</v>
      </c>
      <c r="O30" s="2"/>
    </row>
    <row r="31" spans="1:15" hidden="1" x14ac:dyDescent="0.3">
      <c r="A31" s="10" t="s">
        <v>113</v>
      </c>
      <c r="B31" s="2" t="s">
        <v>124</v>
      </c>
      <c r="C31" s="8">
        <f>2.4+1.5+19.68+6.6+11.1+2</f>
        <v>43.28</v>
      </c>
      <c r="D31" s="8">
        <v>15</v>
      </c>
      <c r="E31" s="8">
        <f>28.21895</f>
        <v>28.21895</v>
      </c>
      <c r="F31" s="7">
        <f t="shared" si="2"/>
        <v>13.21895</v>
      </c>
      <c r="G31" s="8"/>
      <c r="M31" s="7"/>
      <c r="N31" s="7">
        <f t="shared" si="3"/>
        <v>0</v>
      </c>
      <c r="O31" s="2"/>
    </row>
    <row r="32" spans="1:15" x14ac:dyDescent="0.3">
      <c r="A32" s="10" t="s">
        <v>46</v>
      </c>
      <c r="B32" s="5" t="s">
        <v>47</v>
      </c>
      <c r="C32" s="11">
        <f>SUM(C33:C54)</f>
        <v>1701.0599999999997</v>
      </c>
      <c r="D32" s="11">
        <f>SUM(D33:D54)</f>
        <v>1990.15</v>
      </c>
      <c r="E32" s="11">
        <f>SUM(E33:E54)</f>
        <v>1956.9982100000002</v>
      </c>
      <c r="F32" s="7">
        <f t="shared" si="2"/>
        <v>-33.151789999999892</v>
      </c>
      <c r="G32" s="11" t="e">
        <f t="shared" ref="G32:M32" si="9">SUM(G33:G54)</f>
        <v>#REF!</v>
      </c>
      <c r="H32" s="11">
        <f t="shared" si="9"/>
        <v>483.00099999999998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t="shared" si="9"/>
        <v>2486.2815299999997</v>
      </c>
      <c r="N32" s="6" t="e">
        <f t="shared" si="3"/>
        <v>#REF!</v>
      </c>
      <c r="O32" s="6" t="e">
        <f>SUM(O33:O54)</f>
        <v>#REF!</v>
      </c>
    </row>
    <row r="33" spans="1:15" x14ac:dyDescent="0.3">
      <c r="A33" s="10" t="s">
        <v>48</v>
      </c>
      <c r="B33" s="2" t="s">
        <v>49</v>
      </c>
      <c r="C33" s="8">
        <v>1030.9000000000001</v>
      </c>
      <c r="D33" s="8">
        <f>[1]ШР!F15/1000</f>
        <v>1167.25</v>
      </c>
      <c r="E33" s="8">
        <f>1065.099+28</f>
        <v>1093.0989999999999</v>
      </c>
      <c r="F33" s="7">
        <f t="shared" si="2"/>
        <v>-74.151000000000067</v>
      </c>
      <c r="G33" s="8" t="e">
        <f>#REF!/1000</f>
        <v>#REF!</v>
      </c>
      <c r="M33" s="7">
        <f>29.848+74.676+107.893+43.633+4.5+34.69+92.109+7.5+3.136+58.932+38.801+12.701+165+10.681+126+103.838+3.043+80.827+16.287+110</f>
        <v>1124.0950000000003</v>
      </c>
      <c r="N33" s="7" t="e">
        <f t="shared" si="3"/>
        <v>#REF!</v>
      </c>
      <c r="O33" s="7" t="e">
        <f>(#REF!+#REF!)*12/1000+#REF!/1000</f>
        <v>#REF!</v>
      </c>
    </row>
    <row r="34" spans="1:15" ht="14.4" x14ac:dyDescent="0.3">
      <c r="A34" s="10"/>
      <c r="B34" s="2" t="s">
        <v>109</v>
      </c>
      <c r="C34" s="8"/>
      <c r="D34" s="8"/>
      <c r="E34" s="8"/>
      <c r="F34" s="7"/>
      <c r="G34" s="8">
        <f>30*13</f>
        <v>390</v>
      </c>
      <c r="H34" s="17">
        <f>4.7+61.747+25.144+109.018+25.85+59.861+98.392+22.298+10.991+65</f>
        <v>483.00099999999998</v>
      </c>
      <c r="M34" s="7">
        <v>483.01</v>
      </c>
      <c r="N34" s="7">
        <f t="shared" si="3"/>
        <v>93.009999999999991</v>
      </c>
      <c r="O34" s="7"/>
    </row>
    <row r="35" spans="1:15" x14ac:dyDescent="0.3">
      <c r="A35" s="10" t="s">
        <v>50</v>
      </c>
      <c r="B35" s="2" t="s">
        <v>51</v>
      </c>
      <c r="C35" s="8">
        <v>206.1</v>
      </c>
      <c r="D35" s="8">
        <v>240</v>
      </c>
      <c r="E35" s="8">
        <f>232.5+14.50775</f>
        <v>247.00774999999999</v>
      </c>
      <c r="F35" s="7">
        <f t="shared" si="2"/>
        <v>7.0077499999999873</v>
      </c>
      <c r="G35" s="8">
        <f>E35</f>
        <v>247.00774999999999</v>
      </c>
      <c r="M35" s="12">
        <f>301</f>
        <v>301</v>
      </c>
      <c r="N35" s="7">
        <f t="shared" si="3"/>
        <v>53.992250000000013</v>
      </c>
      <c r="O35" s="7" t="e">
        <f>O33*22/100</f>
        <v>#REF!</v>
      </c>
    </row>
    <row r="36" spans="1:15" x14ac:dyDescent="0.3">
      <c r="A36" s="10" t="s">
        <v>52</v>
      </c>
      <c r="B36" s="2" t="s">
        <v>53</v>
      </c>
      <c r="C36" s="8">
        <v>14.4</v>
      </c>
      <c r="D36" s="8">
        <v>14.4</v>
      </c>
      <c r="E36" s="8">
        <f>1.2*12-0.3</f>
        <v>14.099999999999998</v>
      </c>
      <c r="F36" s="7">
        <f t="shared" si="2"/>
        <v>-0.30000000000000249</v>
      </c>
      <c r="G36" s="8">
        <f>E36</f>
        <v>14.099999999999998</v>
      </c>
      <c r="M36" s="7">
        <v>14</v>
      </c>
      <c r="N36" s="7">
        <f t="shared" si="3"/>
        <v>-9.9999999999997868E-2</v>
      </c>
      <c r="O36" s="2">
        <v>14</v>
      </c>
    </row>
    <row r="37" spans="1:15" x14ac:dyDescent="0.3">
      <c r="A37" s="10" t="s">
        <v>55</v>
      </c>
      <c r="B37" s="2" t="s">
        <v>56</v>
      </c>
      <c r="C37" s="8"/>
      <c r="D37" s="8">
        <f>10*8</f>
        <v>80</v>
      </c>
      <c r="E37" s="8">
        <v>50</v>
      </c>
      <c r="F37" s="7">
        <f t="shared" si="2"/>
        <v>-30</v>
      </c>
      <c r="G37" s="8">
        <f>120+10</f>
        <v>130</v>
      </c>
      <c r="M37" s="7">
        <v>120</v>
      </c>
      <c r="N37" s="7">
        <f t="shared" si="3"/>
        <v>-10</v>
      </c>
      <c r="O37" s="2"/>
    </row>
    <row r="38" spans="1:15" hidden="1" x14ac:dyDescent="0.3">
      <c r="A38" s="10" t="s">
        <v>57</v>
      </c>
      <c r="B38" s="2" t="s">
        <v>89</v>
      </c>
      <c r="C38" s="8"/>
      <c r="D38" s="8"/>
      <c r="E38" s="8">
        <f>12+2.94</f>
        <v>14.94</v>
      </c>
      <c r="F38" s="7">
        <f t="shared" si="2"/>
        <v>14.94</v>
      </c>
      <c r="G38" s="8"/>
      <c r="M38" s="7"/>
      <c r="N38" s="7">
        <f t="shared" si="3"/>
        <v>0</v>
      </c>
      <c r="O38" s="2"/>
    </row>
    <row r="39" spans="1:15" x14ac:dyDescent="0.3">
      <c r="A39" s="10" t="s">
        <v>59</v>
      </c>
      <c r="B39" s="2" t="s">
        <v>58</v>
      </c>
      <c r="C39" s="8"/>
      <c r="D39" s="8">
        <v>5</v>
      </c>
      <c r="E39" s="8">
        <f>7+1.6</f>
        <v>8.6</v>
      </c>
      <c r="F39" s="7">
        <f t="shared" si="2"/>
        <v>3.5999999999999996</v>
      </c>
      <c r="G39" s="8">
        <v>2.5</v>
      </c>
      <c r="M39" s="7">
        <v>2.5</v>
      </c>
      <c r="N39" s="7">
        <f t="shared" si="3"/>
        <v>0</v>
      </c>
      <c r="O39" s="2"/>
    </row>
    <row r="40" spans="1:15" x14ac:dyDescent="0.3">
      <c r="A40" s="10" t="s">
        <v>61</v>
      </c>
      <c r="B40" s="2" t="s">
        <v>60</v>
      </c>
      <c r="C40" s="8">
        <v>36.5</v>
      </c>
      <c r="D40" s="8">
        <v>37</v>
      </c>
      <c r="E40" s="8">
        <v>30</v>
      </c>
      <c r="F40" s="7">
        <f t="shared" si="2"/>
        <v>-7</v>
      </c>
      <c r="G40" s="8">
        <f>E40</f>
        <v>30</v>
      </c>
      <c r="M40" s="7">
        <f>2.5*10+1.5*2</f>
        <v>28</v>
      </c>
      <c r="N40" s="7">
        <f t="shared" si="3"/>
        <v>-2</v>
      </c>
      <c r="O40" s="2">
        <f>1.5*12</f>
        <v>18</v>
      </c>
    </row>
    <row r="41" spans="1:15" ht="27.6" x14ac:dyDescent="0.3">
      <c r="A41" s="10" t="s">
        <v>63</v>
      </c>
      <c r="B41" s="3" t="s">
        <v>62</v>
      </c>
      <c r="C41" s="13">
        <v>17.05</v>
      </c>
      <c r="D41" s="8">
        <v>30</v>
      </c>
      <c r="E41" s="8">
        <f>5.39+30.93+2.424+3.09</f>
        <v>41.834000000000003</v>
      </c>
      <c r="F41" s="7">
        <f t="shared" si="2"/>
        <v>11.834000000000003</v>
      </c>
      <c r="G41" s="8">
        <v>35</v>
      </c>
      <c r="M41" s="7">
        <f>17.68963</f>
        <v>17.689630000000001</v>
      </c>
      <c r="N41" s="7">
        <f t="shared" si="3"/>
        <v>-17.310369999999999</v>
      </c>
      <c r="O41" s="2"/>
    </row>
    <row r="42" spans="1:15" x14ac:dyDescent="0.3">
      <c r="A42" s="10" t="s">
        <v>65</v>
      </c>
      <c r="B42" s="3" t="s">
        <v>115</v>
      </c>
      <c r="C42" s="13"/>
      <c r="D42" s="8"/>
      <c r="E42" s="8"/>
      <c r="F42" s="7">
        <f t="shared" si="2"/>
        <v>0</v>
      </c>
      <c r="G42" s="8">
        <v>40.299999999999997</v>
      </c>
      <c r="M42" s="7">
        <f>40.38315+9.2</f>
        <v>49.583150000000003</v>
      </c>
      <c r="N42" s="7">
        <f t="shared" si="3"/>
        <v>9.2831500000000062</v>
      </c>
      <c r="O42" s="2">
        <v>24</v>
      </c>
    </row>
    <row r="43" spans="1:15" x14ac:dyDescent="0.3">
      <c r="A43" s="10" t="s">
        <v>67</v>
      </c>
      <c r="B43" s="3" t="s">
        <v>94</v>
      </c>
      <c r="C43" s="13"/>
      <c r="D43" s="8"/>
      <c r="E43" s="8"/>
      <c r="F43" s="7">
        <f t="shared" si="2"/>
        <v>0</v>
      </c>
      <c r="G43" s="8">
        <v>40</v>
      </c>
      <c r="M43" s="7">
        <f>44</f>
        <v>44</v>
      </c>
      <c r="N43" s="7">
        <f t="shared" si="3"/>
        <v>4</v>
      </c>
      <c r="O43" s="2"/>
    </row>
    <row r="44" spans="1:15" x14ac:dyDescent="0.3">
      <c r="A44" s="10" t="s">
        <v>160</v>
      </c>
      <c r="B44" s="2" t="s">
        <v>64</v>
      </c>
      <c r="C44" s="8">
        <v>129.5</v>
      </c>
      <c r="D44" s="8">
        <v>130</v>
      </c>
      <c r="E44" s="8">
        <v>122.931</v>
      </c>
      <c r="F44" s="7">
        <f t="shared" si="2"/>
        <v>-7.0690000000000026</v>
      </c>
      <c r="G44" s="8">
        <f>120-30</f>
        <v>90</v>
      </c>
      <c r="M44" s="12">
        <v>120</v>
      </c>
      <c r="N44" s="7">
        <f t="shared" si="3"/>
        <v>30</v>
      </c>
      <c r="O44" s="2"/>
    </row>
    <row r="45" spans="1:15" x14ac:dyDescent="0.3">
      <c r="A45" s="10" t="s">
        <v>70</v>
      </c>
      <c r="B45" s="2" t="s">
        <v>112</v>
      </c>
      <c r="C45" s="8"/>
      <c r="D45" s="8"/>
      <c r="E45" s="8"/>
      <c r="F45" s="7">
        <f t="shared" si="2"/>
        <v>0</v>
      </c>
      <c r="G45" s="8">
        <v>45</v>
      </c>
      <c r="M45" s="7"/>
      <c r="N45" s="7">
        <f t="shared" si="3"/>
        <v>-45</v>
      </c>
      <c r="O45" s="2"/>
    </row>
    <row r="46" spans="1:15" x14ac:dyDescent="0.3">
      <c r="A46" s="10" t="s">
        <v>71</v>
      </c>
      <c r="B46" s="2" t="s">
        <v>66</v>
      </c>
      <c r="C46" s="8">
        <v>14.99</v>
      </c>
      <c r="D46" s="8">
        <v>15</v>
      </c>
      <c r="E46" s="8">
        <v>5</v>
      </c>
      <c r="F46" s="7">
        <f t="shared" si="2"/>
        <v>-10</v>
      </c>
      <c r="G46" s="8">
        <f>5</f>
        <v>5</v>
      </c>
      <c r="M46" s="12">
        <v>30</v>
      </c>
      <c r="N46" s="7">
        <f t="shared" si="3"/>
        <v>25</v>
      </c>
      <c r="O46" s="2"/>
    </row>
    <row r="47" spans="1:15" x14ac:dyDescent="0.3">
      <c r="A47" s="10" t="s">
        <v>72</v>
      </c>
      <c r="B47" s="2" t="s">
        <v>68</v>
      </c>
      <c r="C47" s="8">
        <v>68.599999999999994</v>
      </c>
      <c r="D47" s="8">
        <v>55</v>
      </c>
      <c r="E47" s="8">
        <v>113.7</v>
      </c>
      <c r="F47" s="7">
        <f t="shared" si="2"/>
        <v>58.7</v>
      </c>
      <c r="G47" s="8">
        <f>E47</f>
        <v>113.7</v>
      </c>
      <c r="M47" s="12">
        <v>88.719560000000001</v>
      </c>
      <c r="N47" s="7">
        <f t="shared" si="3"/>
        <v>-24.980440000000002</v>
      </c>
      <c r="O47" s="2"/>
    </row>
    <row r="48" spans="1:15" x14ac:dyDescent="0.3">
      <c r="A48" s="10" t="s">
        <v>73</v>
      </c>
      <c r="B48" s="2" t="s">
        <v>176</v>
      </c>
      <c r="C48" s="8">
        <f>21.72+4.4</f>
        <v>26.119999999999997</v>
      </c>
      <c r="D48" s="8">
        <v>46</v>
      </c>
      <c r="E48" s="8">
        <f>0.94678+0.4+0.71622+0.982+26.263+3.9+2.8+0.88+0.45+0.9899+0.8112</f>
        <v>39.139099999999999</v>
      </c>
      <c r="F48" s="7">
        <f t="shared" si="2"/>
        <v>-6.8609000000000009</v>
      </c>
      <c r="G48" s="8">
        <v>15</v>
      </c>
      <c r="M48" s="7">
        <f>2.5+4.7</f>
        <v>7.2</v>
      </c>
      <c r="N48" s="7">
        <f t="shared" si="3"/>
        <v>-7.8</v>
      </c>
      <c r="O48" s="2"/>
    </row>
    <row r="49" spans="1:17" x14ac:dyDescent="0.3">
      <c r="A49" s="10" t="s">
        <v>74</v>
      </c>
      <c r="B49" s="2" t="s">
        <v>99</v>
      </c>
      <c r="C49" s="8">
        <v>6</v>
      </c>
      <c r="D49" s="8">
        <v>7</v>
      </c>
      <c r="E49" s="8">
        <f>2.961+0.669+2.941</f>
        <v>6.5709999999999997</v>
      </c>
      <c r="F49" s="7">
        <f t="shared" si="2"/>
        <v>-0.42900000000000027</v>
      </c>
      <c r="G49" s="8">
        <f>E49</f>
        <v>6.5709999999999997</v>
      </c>
      <c r="M49" s="7">
        <f>2.69519</f>
        <v>2.6951900000000002</v>
      </c>
      <c r="N49" s="7">
        <f t="shared" si="3"/>
        <v>-3.8758099999999995</v>
      </c>
      <c r="O49" s="2"/>
    </row>
    <row r="50" spans="1:17" x14ac:dyDescent="0.3">
      <c r="A50" s="10" t="s">
        <v>161</v>
      </c>
      <c r="B50" s="2" t="s">
        <v>177</v>
      </c>
      <c r="C50" s="8">
        <f>3.3+3.6+0.7</f>
        <v>7.6000000000000005</v>
      </c>
      <c r="D50" s="8">
        <f>4+7</f>
        <v>11</v>
      </c>
      <c r="E50" s="8">
        <f>3.337+6+0.522+0.737+0.2</f>
        <v>10.795999999999999</v>
      </c>
      <c r="F50" s="7">
        <f t="shared" si="2"/>
        <v>-0.20400000000000063</v>
      </c>
      <c r="G50" s="8">
        <f>E50</f>
        <v>10.795999999999999</v>
      </c>
      <c r="M50" s="7">
        <f>3</f>
        <v>3</v>
      </c>
      <c r="N50" s="7">
        <f t="shared" si="3"/>
        <v>-7.7959999999999994</v>
      </c>
      <c r="O50" s="2"/>
    </row>
    <row r="51" spans="1:17" x14ac:dyDescent="0.3">
      <c r="A51" s="10" t="s">
        <v>162</v>
      </c>
      <c r="B51" s="2" t="s">
        <v>75</v>
      </c>
      <c r="C51" s="8">
        <v>29.8</v>
      </c>
      <c r="D51" s="8">
        <v>31.5</v>
      </c>
      <c r="E51" s="8">
        <v>31.644359999999999</v>
      </c>
      <c r="F51" s="7">
        <f t="shared" si="2"/>
        <v>0.14435999999999893</v>
      </c>
      <c r="G51" s="8">
        <v>35</v>
      </c>
      <c r="M51" s="12">
        <v>30</v>
      </c>
      <c r="N51" s="7">
        <f t="shared" si="3"/>
        <v>-5</v>
      </c>
      <c r="O51" s="2"/>
    </row>
    <row r="52" spans="1:17" hidden="1" x14ac:dyDescent="0.3">
      <c r="A52" s="10" t="s">
        <v>163</v>
      </c>
      <c r="B52" s="2" t="s">
        <v>122</v>
      </c>
      <c r="C52" s="8"/>
      <c r="D52" s="8"/>
      <c r="E52" s="8">
        <v>4.4000000000000004</v>
      </c>
      <c r="F52" s="7">
        <f t="shared" si="2"/>
        <v>4.4000000000000004</v>
      </c>
      <c r="G52" s="8"/>
      <c r="M52" s="7"/>
      <c r="N52" s="7">
        <f t="shared" si="3"/>
        <v>0</v>
      </c>
      <c r="O52" s="2"/>
    </row>
    <row r="53" spans="1:17" ht="13.5" customHeight="1" x14ac:dyDescent="0.3">
      <c r="A53" s="10" t="s">
        <v>164</v>
      </c>
      <c r="B53" s="2" t="s">
        <v>173</v>
      </c>
      <c r="C53" s="8">
        <v>42.2</v>
      </c>
      <c r="D53" s="8">
        <v>51</v>
      </c>
      <c r="E53" s="8">
        <f>62.1-2.424-3.09</f>
        <v>56.585999999999999</v>
      </c>
      <c r="F53" s="7">
        <f t="shared" si="2"/>
        <v>5.5859999999999985</v>
      </c>
      <c r="G53" s="7">
        <v>57</v>
      </c>
      <c r="H53" s="9"/>
      <c r="M53" s="7">
        <f>3.138+3.78+4.365</f>
        <v>11.282999999999999</v>
      </c>
      <c r="N53" s="7">
        <f t="shared" si="3"/>
        <v>-45.716999999999999</v>
      </c>
      <c r="O53" s="2"/>
    </row>
    <row r="54" spans="1:17" customFormat="1" ht="14.4" x14ac:dyDescent="0.3">
      <c r="A54" s="10" t="s">
        <v>165</v>
      </c>
      <c r="B54" s="14" t="s">
        <v>114</v>
      </c>
      <c r="C54" s="8">
        <v>71.3</v>
      </c>
      <c r="D54" s="8">
        <v>70</v>
      </c>
      <c r="E54" s="8">
        <f>64.35+2.3</f>
        <v>66.649999999999991</v>
      </c>
      <c r="F54" s="7">
        <f t="shared" si="2"/>
        <v>-3.3500000000000085</v>
      </c>
      <c r="G54" s="8">
        <v>60</v>
      </c>
      <c r="M54" s="18">
        <f>8.906+0.6</f>
        <v>9.5060000000000002</v>
      </c>
      <c r="N54" s="7">
        <f t="shared" si="3"/>
        <v>-50.494</v>
      </c>
      <c r="O54" s="17"/>
    </row>
    <row r="55" spans="1:17" x14ac:dyDescent="0.3">
      <c r="A55" s="10" t="s">
        <v>166</v>
      </c>
      <c r="B55" s="5" t="s">
        <v>79</v>
      </c>
      <c r="C55" s="11">
        <f>C56</f>
        <v>182</v>
      </c>
      <c r="D55" s="11">
        <f t="shared" ref="D55:M55" si="10">D56</f>
        <v>182</v>
      </c>
      <c r="E55" s="11">
        <f t="shared" si="10"/>
        <v>181.202</v>
      </c>
      <c r="F55" s="7">
        <f t="shared" si="2"/>
        <v>-0.79800000000000182</v>
      </c>
      <c r="G55" s="11">
        <f t="shared" si="10"/>
        <v>221.202</v>
      </c>
      <c r="H55" s="11">
        <f t="shared" si="10"/>
        <v>0</v>
      </c>
      <c r="I55" s="11">
        <f t="shared" si="10"/>
        <v>0</v>
      </c>
      <c r="J55" s="11">
        <f t="shared" si="10"/>
        <v>0</v>
      </c>
      <c r="K55" s="11">
        <f t="shared" si="10"/>
        <v>0</v>
      </c>
      <c r="L55" s="11">
        <f t="shared" si="10"/>
        <v>0</v>
      </c>
      <c r="M55" s="11">
        <f t="shared" si="10"/>
        <v>166.11614</v>
      </c>
      <c r="N55" s="6">
        <f t="shared" si="3"/>
        <v>-55.085859999999997</v>
      </c>
      <c r="O55" s="5"/>
    </row>
    <row r="56" spans="1:17" x14ac:dyDescent="0.3">
      <c r="A56" s="10" t="s">
        <v>167</v>
      </c>
      <c r="B56" s="2" t="s">
        <v>81</v>
      </c>
      <c r="C56" s="8">
        <v>182</v>
      </c>
      <c r="D56" s="8">
        <v>182</v>
      </c>
      <c r="E56" s="8">
        <f>172.234+8.968</f>
        <v>181.202</v>
      </c>
      <c r="F56" s="7">
        <f t="shared" si="2"/>
        <v>-0.79800000000000182</v>
      </c>
      <c r="G56" s="11">
        <f>E56+2+38</f>
        <v>221.202</v>
      </c>
      <c r="M56" s="12">
        <f>164.11614+2</f>
        <v>166.11614</v>
      </c>
      <c r="N56" s="7">
        <f t="shared" si="3"/>
        <v>-55.085859999999997</v>
      </c>
      <c r="O56" s="2"/>
    </row>
    <row r="57" spans="1:17" customFormat="1" ht="15.6" x14ac:dyDescent="0.3">
      <c r="A57" s="10" t="s">
        <v>82</v>
      </c>
      <c r="B57" s="20" t="s">
        <v>87</v>
      </c>
      <c r="C57" s="8"/>
      <c r="D57" s="11">
        <v>100</v>
      </c>
      <c r="E57" s="11">
        <f>E58+E59</f>
        <v>264.54680000000002</v>
      </c>
      <c r="F57" s="7">
        <f t="shared" si="2"/>
        <v>164.54680000000002</v>
      </c>
      <c r="G57" s="11">
        <f>G58+G59</f>
        <v>28.715</v>
      </c>
      <c r="H57" s="11">
        <f t="shared" ref="H57:M57" si="11">H58+H59</f>
        <v>0</v>
      </c>
      <c r="I57" s="11">
        <f t="shared" si="11"/>
        <v>0</v>
      </c>
      <c r="J57" s="11">
        <f t="shared" si="11"/>
        <v>0</v>
      </c>
      <c r="K57" s="11">
        <f t="shared" si="11"/>
        <v>0</v>
      </c>
      <c r="L57" s="11">
        <f t="shared" si="11"/>
        <v>0</v>
      </c>
      <c r="M57" s="11">
        <f t="shared" si="11"/>
        <v>29</v>
      </c>
      <c r="N57" s="6">
        <f t="shared" si="3"/>
        <v>0.28500000000000014</v>
      </c>
      <c r="O57" s="16"/>
      <c r="Q57" s="34">
        <f>M33+'БДР (ПД)'!G13</f>
        <v>1584.2750300000002</v>
      </c>
    </row>
    <row r="58" spans="1:17" customFormat="1" ht="12.75" customHeight="1" x14ac:dyDescent="0.3">
      <c r="A58" s="10"/>
      <c r="B58" s="14" t="s">
        <v>88</v>
      </c>
      <c r="C58" s="8"/>
      <c r="D58" s="8"/>
      <c r="E58" s="8">
        <f>3.5+8+8.3968+26+128.3+75</f>
        <v>249.1968</v>
      </c>
      <c r="F58" s="7">
        <f t="shared" si="2"/>
        <v>249.1968</v>
      </c>
      <c r="G58" s="8">
        <v>28.715</v>
      </c>
      <c r="M58" s="18">
        <v>29</v>
      </c>
      <c r="N58" s="7">
        <f t="shared" si="3"/>
        <v>0.28500000000000014</v>
      </c>
      <c r="O58" s="17"/>
    </row>
    <row r="59" spans="1:17" customFormat="1" ht="12.75" hidden="1" customHeight="1" x14ac:dyDescent="0.3">
      <c r="A59" s="2"/>
      <c r="B59" s="2" t="s">
        <v>111</v>
      </c>
      <c r="C59" s="8"/>
      <c r="D59" s="8"/>
      <c r="E59" s="8">
        <v>15.35</v>
      </c>
      <c r="F59" s="7">
        <f t="shared" si="2"/>
        <v>15.35</v>
      </c>
      <c r="G59" s="8"/>
      <c r="M59" s="18"/>
      <c r="N59" s="7">
        <f t="shared" si="3"/>
        <v>0</v>
      </c>
      <c r="O59" s="17"/>
    </row>
    <row r="60" spans="1:17" x14ac:dyDescent="0.3">
      <c r="A60" s="10"/>
      <c r="B60" s="30" t="s">
        <v>145</v>
      </c>
      <c r="C60" s="6">
        <f>C4-C14</f>
        <v>-162.36799999999948</v>
      </c>
      <c r="D60" s="6">
        <f>D4-D14</f>
        <v>-430.65000000000055</v>
      </c>
      <c r="E60" s="11">
        <f>E4-E14</f>
        <v>-261.56450000000041</v>
      </c>
      <c r="F60" s="7">
        <f t="shared" si="2"/>
        <v>169.08550000000014</v>
      </c>
      <c r="G60" s="6" t="e">
        <f t="shared" ref="G60:M60" si="12">G4-G14</f>
        <v>#REF!</v>
      </c>
      <c r="H60" s="6" t="e">
        <f t="shared" si="12"/>
        <v>#REF!</v>
      </c>
      <c r="I60" s="6" t="e">
        <f t="shared" si="12"/>
        <v>#REF!</v>
      </c>
      <c r="J60" s="6" t="e">
        <f t="shared" si="12"/>
        <v>#REF!</v>
      </c>
      <c r="K60" s="6" t="e">
        <f t="shared" si="12"/>
        <v>#REF!</v>
      </c>
      <c r="L60" s="6">
        <f t="shared" si="12"/>
        <v>0</v>
      </c>
      <c r="M60" s="6">
        <f t="shared" si="12"/>
        <v>-426.01643000000013</v>
      </c>
      <c r="N60" s="6" t="e">
        <f t="shared" si="3"/>
        <v>#REF!</v>
      </c>
      <c r="O60" s="5"/>
    </row>
    <row r="61" spans="1:17" x14ac:dyDescent="0.3">
      <c r="E61" s="15"/>
      <c r="F61" s="15"/>
    </row>
    <row r="62" spans="1:17" x14ac:dyDescent="0.3">
      <c r="E62" s="15"/>
      <c r="F62" s="1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6"/>
  <sheetViews>
    <sheetView zoomScale="115" zoomScaleNormal="115" workbookViewId="0">
      <pane xSplit="2" ySplit="2" topLeftCell="C45" activePane="bottomRight" state="frozen"/>
      <selection pane="topRight" activeCell="D1" sqref="D1"/>
      <selection pane="bottomLeft" activeCell="A4" sqref="A4"/>
      <selection pane="bottomRight" activeCell="Q19" sqref="Q19"/>
    </sheetView>
  </sheetViews>
  <sheetFormatPr defaultColWidth="9.109375" defaultRowHeight="13.8" x14ac:dyDescent="0.3"/>
  <cols>
    <col min="1" max="1" width="5.88671875" style="1" customWidth="1"/>
    <col min="2" max="2" width="64.44140625" style="1" customWidth="1"/>
    <col min="3" max="3" width="11.44140625" style="1" customWidth="1"/>
    <col min="4" max="4" width="12.5546875" style="1" customWidth="1"/>
    <col min="5" max="5" width="17.77734375" style="1" hidden="1" customWidth="1"/>
    <col min="6" max="6" width="16.33203125" style="1" hidden="1" customWidth="1"/>
    <col min="7" max="7" width="12.6640625" style="1" hidden="1" customWidth="1"/>
    <col min="8" max="8" width="12.77734375" style="1" hidden="1" customWidth="1"/>
    <col min="9" max="15" width="0" style="1" hidden="1" customWidth="1"/>
    <col min="16" max="16384" width="9.109375" style="1"/>
  </cols>
  <sheetData>
    <row r="1" spans="1:16" ht="32.25" customHeight="1" x14ac:dyDescent="0.3">
      <c r="B1" s="96" t="s">
        <v>221</v>
      </c>
      <c r="C1" s="56"/>
      <c r="E1" s="43"/>
    </row>
    <row r="2" spans="1:16" ht="19.8" customHeight="1" x14ac:dyDescent="0.3">
      <c r="A2" s="47" t="s">
        <v>0</v>
      </c>
      <c r="B2" s="46" t="s">
        <v>1</v>
      </c>
      <c r="C2" s="49" t="s">
        <v>171</v>
      </c>
      <c r="D2" s="49" t="s">
        <v>196</v>
      </c>
      <c r="E2" s="49" t="s">
        <v>186</v>
      </c>
      <c r="F2" s="49" t="s">
        <v>187</v>
      </c>
      <c r="G2" s="49" t="s">
        <v>195</v>
      </c>
      <c r="H2" s="49" t="s">
        <v>204</v>
      </c>
      <c r="K2" s="57">
        <v>2018</v>
      </c>
    </row>
    <row r="3" spans="1:16" x14ac:dyDescent="0.3">
      <c r="A3" s="71" t="s">
        <v>3</v>
      </c>
      <c r="B3" s="30" t="s">
        <v>4</v>
      </c>
      <c r="C3" s="11">
        <f>SUM(C4:C11)</f>
        <v>3201.5</v>
      </c>
      <c r="D3" s="11">
        <f>SUM(D4:D11)</f>
        <v>3288.8202700000002</v>
      </c>
      <c r="E3" s="50">
        <f>SUM(E4:E10)</f>
        <v>803.03609000000006</v>
      </c>
      <c r="F3" s="50">
        <f>SUM(F4:F10)</f>
        <v>815.59951000000001</v>
      </c>
      <c r="G3" s="50">
        <f>SUM(G4:G10)</f>
        <v>815.65233999999998</v>
      </c>
      <c r="H3" s="50">
        <f>SUM(H4:H10)</f>
        <v>815.65233000000001</v>
      </c>
      <c r="I3" s="43"/>
      <c r="J3" s="43"/>
      <c r="K3" s="58">
        <f>D3</f>
        <v>3288.8202700000002</v>
      </c>
    </row>
    <row r="4" spans="1:16" x14ac:dyDescent="0.3">
      <c r="A4" s="71" t="s">
        <v>5</v>
      </c>
      <c r="B4" s="31" t="s">
        <v>6</v>
      </c>
      <c r="C4" s="8">
        <v>199</v>
      </c>
      <c r="D4" s="8">
        <f t="shared" ref="D4:D11" si="0">SUM(E4:H4)</f>
        <v>199.27188000000001</v>
      </c>
      <c r="E4" s="51">
        <v>49.817970000000003</v>
      </c>
      <c r="F4" s="52">
        <v>49.817970000000003</v>
      </c>
      <c r="G4" s="52">
        <f>16.60599*3</f>
        <v>49.817969999999995</v>
      </c>
      <c r="H4" s="52">
        <f>16.60599*3</f>
        <v>49.817969999999995</v>
      </c>
      <c r="K4" s="59"/>
    </row>
    <row r="5" spans="1:16" x14ac:dyDescent="0.3">
      <c r="A5" s="71" t="s">
        <v>7</v>
      </c>
      <c r="B5" s="31" t="s">
        <v>8</v>
      </c>
      <c r="C5" s="8">
        <v>522</v>
      </c>
      <c r="D5" s="8">
        <f t="shared" si="0"/>
        <v>522.06704999999999</v>
      </c>
      <c r="E5" s="52">
        <v>129.97820999999999</v>
      </c>
      <c r="F5" s="52">
        <v>130.69626</v>
      </c>
      <c r="G5" s="52">
        <f>43.56543*3</f>
        <v>130.69629</v>
      </c>
      <c r="H5" s="52">
        <f>43.56543*3</f>
        <v>130.69629</v>
      </c>
      <c r="K5" s="59"/>
    </row>
    <row r="6" spans="1:16" x14ac:dyDescent="0.3">
      <c r="A6" s="71" t="s">
        <v>9</v>
      </c>
      <c r="B6" s="31" t="s">
        <v>10</v>
      </c>
      <c r="C6" s="8">
        <v>2147.5</v>
      </c>
      <c r="D6" s="8">
        <f t="shared" si="0"/>
        <v>2019.3728099999998</v>
      </c>
      <c r="E6" s="52">
        <v>531.63553999999999</v>
      </c>
      <c r="F6" s="52">
        <v>506.40114999999997</v>
      </c>
      <c r="G6" s="52">
        <f>163.55602*3</f>
        <v>490.66805999999997</v>
      </c>
      <c r="H6" s="52">
        <f>163.55602*3</f>
        <v>490.66805999999997</v>
      </c>
      <c r="K6" s="59"/>
    </row>
    <row r="7" spans="1:16" x14ac:dyDescent="0.3">
      <c r="A7" s="71" t="s">
        <v>11</v>
      </c>
      <c r="B7" s="31" t="s">
        <v>188</v>
      </c>
      <c r="C7" s="8"/>
      <c r="D7" s="8">
        <f t="shared" si="0"/>
        <v>76.264920000000004</v>
      </c>
      <c r="E7" s="51">
        <v>19.066230000000001</v>
      </c>
      <c r="F7" s="52">
        <v>19.066230000000001</v>
      </c>
      <c r="G7" s="52">
        <f>6.35541*3</f>
        <v>19.066230000000001</v>
      </c>
      <c r="H7" s="52">
        <f>6.35541*3</f>
        <v>19.066230000000001</v>
      </c>
      <c r="K7" s="59"/>
    </row>
    <row r="8" spans="1:16" x14ac:dyDescent="0.3">
      <c r="A8" s="71" t="s">
        <v>185</v>
      </c>
      <c r="B8" s="31" t="s">
        <v>189</v>
      </c>
      <c r="C8" s="8"/>
      <c r="D8" s="8">
        <f t="shared" si="0"/>
        <v>13.53168</v>
      </c>
      <c r="E8" s="51">
        <v>3.3829199999999999</v>
      </c>
      <c r="F8" s="52">
        <v>3.3829199999999999</v>
      </c>
      <c r="G8" s="52">
        <f>1.12764*3</f>
        <v>3.3829199999999999</v>
      </c>
      <c r="H8" s="52">
        <f>1.12764*3</f>
        <v>3.3829199999999999</v>
      </c>
      <c r="K8" s="59"/>
    </row>
    <row r="9" spans="1:16" x14ac:dyDescent="0.3">
      <c r="A9" s="71" t="s">
        <v>193</v>
      </c>
      <c r="B9" s="31" t="s">
        <v>190</v>
      </c>
      <c r="C9" s="8"/>
      <c r="D9" s="8">
        <f t="shared" si="0"/>
        <v>126.28727999999998</v>
      </c>
      <c r="E9" s="51"/>
      <c r="F9" s="52">
        <v>31.571819999999999</v>
      </c>
      <c r="G9" s="52">
        <f>15.78591*3</f>
        <v>47.357729999999997</v>
      </c>
      <c r="H9" s="52">
        <f>15.78591*3</f>
        <v>47.357729999999997</v>
      </c>
      <c r="I9" s="15"/>
      <c r="J9" s="15"/>
      <c r="K9" s="59"/>
    </row>
    <row r="10" spans="1:16" x14ac:dyDescent="0.3">
      <c r="A10" s="71" t="s">
        <v>194</v>
      </c>
      <c r="B10" s="31" t="s">
        <v>12</v>
      </c>
      <c r="C10" s="8">
        <v>295</v>
      </c>
      <c r="D10" s="8">
        <f t="shared" si="0"/>
        <v>293.14464999999996</v>
      </c>
      <c r="E10" s="51">
        <v>69.15522</v>
      </c>
      <c r="F10" s="52">
        <v>74.663160000000005</v>
      </c>
      <c r="G10" s="52">
        <f>24.88771*2+24.88772</f>
        <v>74.663139999999999</v>
      </c>
      <c r="H10" s="52">
        <f>24.88771*2+24.88771</f>
        <v>74.663129999999995</v>
      </c>
      <c r="I10" s="15"/>
      <c r="J10" s="15"/>
      <c r="K10" s="59"/>
    </row>
    <row r="11" spans="1:16" x14ac:dyDescent="0.3">
      <c r="A11" s="71" t="s">
        <v>217</v>
      </c>
      <c r="B11" s="2" t="s">
        <v>184</v>
      </c>
      <c r="C11" s="7">
        <v>38</v>
      </c>
      <c r="D11" s="7">
        <f t="shared" si="0"/>
        <v>38.880000000000003</v>
      </c>
      <c r="E11" s="51">
        <v>9.7200000000000006</v>
      </c>
      <c r="F11" s="52">
        <v>9.7200000000000006</v>
      </c>
      <c r="G11" s="52">
        <f>3.24*3</f>
        <v>9.7200000000000006</v>
      </c>
      <c r="H11" s="52">
        <f>3.24*3</f>
        <v>9.7200000000000006</v>
      </c>
      <c r="I11" s="43"/>
      <c r="K11" s="59"/>
    </row>
    <row r="12" spans="1:16" x14ac:dyDescent="0.3">
      <c r="A12" s="72" t="s">
        <v>18</v>
      </c>
      <c r="B12" s="73" t="s">
        <v>19</v>
      </c>
      <c r="C12" s="11">
        <f t="shared" ref="C12:H12" si="1">C13+C14+C25+C43+C44</f>
        <v>3354.5</v>
      </c>
      <c r="D12" s="11">
        <f>D13+D14+D25+D43+D44</f>
        <v>3510.9521800000002</v>
      </c>
      <c r="E12" s="6" t="e">
        <f t="shared" si="1"/>
        <v>#REF!</v>
      </c>
      <c r="F12" s="6" t="e">
        <f t="shared" si="1"/>
        <v>#REF!</v>
      </c>
      <c r="G12" s="6" t="e">
        <f t="shared" si="1"/>
        <v>#REF!</v>
      </c>
      <c r="H12" s="6" t="e">
        <f t="shared" si="1"/>
        <v>#REF!</v>
      </c>
      <c r="I12" s="43"/>
      <c r="K12" s="59"/>
    </row>
    <row r="13" spans="1:16" ht="13.8" customHeight="1" x14ac:dyDescent="0.3">
      <c r="A13" s="72" t="s">
        <v>20</v>
      </c>
      <c r="B13" s="30" t="s">
        <v>21</v>
      </c>
      <c r="C13" s="11">
        <v>199</v>
      </c>
      <c r="D13" s="11">
        <f>SUM(E13:H13)</f>
        <v>186.035</v>
      </c>
      <c r="E13" s="45">
        <v>44.734999999999999</v>
      </c>
      <c r="F13" s="50">
        <v>47.045000000000002</v>
      </c>
      <c r="G13" s="50">
        <v>48.715000000000003</v>
      </c>
      <c r="H13" s="50">
        <f>15.345+14.85+15.345</f>
        <v>45.54</v>
      </c>
      <c r="I13" s="43"/>
      <c r="K13" s="59">
        <v>190</v>
      </c>
    </row>
    <row r="14" spans="1:16" x14ac:dyDescent="0.3">
      <c r="A14" s="72" t="s">
        <v>26</v>
      </c>
      <c r="B14" s="30" t="s">
        <v>27</v>
      </c>
      <c r="C14" s="11">
        <f t="shared" ref="C14:H14" si="2">SUM(C15:C24)</f>
        <v>620</v>
      </c>
      <c r="D14" s="11">
        <f t="shared" si="2"/>
        <v>767.44998999999996</v>
      </c>
      <c r="E14" s="50">
        <f t="shared" si="2"/>
        <v>22.54224</v>
      </c>
      <c r="F14" s="50">
        <f t="shared" si="2"/>
        <v>201.46674999999996</v>
      </c>
      <c r="G14" s="50">
        <f t="shared" si="2"/>
        <v>193.32776000000001</v>
      </c>
      <c r="H14" s="50">
        <f t="shared" si="2"/>
        <v>338.35114999999996</v>
      </c>
      <c r="I14" s="43"/>
      <c r="K14" s="59">
        <f>SUM(K15:K24)</f>
        <v>438</v>
      </c>
    </row>
    <row r="15" spans="1:16" x14ac:dyDescent="0.3">
      <c r="A15" s="74" t="s">
        <v>28</v>
      </c>
      <c r="B15" s="31" t="s">
        <v>34</v>
      </c>
      <c r="C15" s="8">
        <v>40</v>
      </c>
      <c r="D15" s="8">
        <f>SUM(E15:H15)</f>
        <v>53.49</v>
      </c>
      <c r="E15" s="7"/>
      <c r="F15" s="77"/>
      <c r="G15" s="7"/>
      <c r="H15" s="8">
        <v>53.49</v>
      </c>
      <c r="I15" s="32"/>
      <c r="J15" s="32"/>
      <c r="K15" s="78">
        <v>40</v>
      </c>
      <c r="L15" s="32"/>
      <c r="M15" s="32"/>
      <c r="N15" s="32"/>
      <c r="O15" s="32"/>
      <c r="P15" s="32"/>
    </row>
    <row r="16" spans="1:16" x14ac:dyDescent="0.3">
      <c r="A16" s="74" t="s">
        <v>218</v>
      </c>
      <c r="B16" s="31" t="s">
        <v>172</v>
      </c>
      <c r="C16" s="8">
        <v>67</v>
      </c>
      <c r="D16" s="8">
        <f>SUM(E16:H16)</f>
        <v>89.98</v>
      </c>
      <c r="E16" s="7"/>
      <c r="F16" s="7">
        <v>89.98</v>
      </c>
      <c r="G16" s="7"/>
      <c r="H16" s="8"/>
      <c r="I16" s="32"/>
      <c r="J16" s="32"/>
      <c r="K16" s="78">
        <v>100</v>
      </c>
      <c r="L16" s="32"/>
      <c r="M16" s="32"/>
      <c r="N16" s="32"/>
      <c r="O16" s="32"/>
      <c r="P16" s="32"/>
    </row>
    <row r="17" spans="1:16" x14ac:dyDescent="0.3">
      <c r="A17" s="74" t="s">
        <v>30</v>
      </c>
      <c r="B17" s="31" t="s">
        <v>199</v>
      </c>
      <c r="C17" s="8">
        <v>55</v>
      </c>
      <c r="D17" s="8">
        <f t="shared" ref="D17:D20" si="3">SUM(E17:H17)</f>
        <v>70.56998999999999</v>
      </c>
      <c r="E17" s="7">
        <f>0.45924</f>
        <v>0.45923999999999998</v>
      </c>
      <c r="F17" s="7"/>
      <c r="G17" s="7"/>
      <c r="H17" s="8">
        <v>70.110749999999996</v>
      </c>
      <c r="I17" s="32"/>
      <c r="J17" s="32"/>
      <c r="K17" s="78">
        <v>90</v>
      </c>
      <c r="L17" s="32"/>
      <c r="M17" s="32"/>
      <c r="N17" s="32"/>
      <c r="O17" s="32"/>
      <c r="P17" s="32"/>
    </row>
    <row r="18" spans="1:16" x14ac:dyDescent="0.3">
      <c r="A18" s="74" t="s">
        <v>31</v>
      </c>
      <c r="B18" s="31" t="s">
        <v>181</v>
      </c>
      <c r="C18" s="8">
        <v>3</v>
      </c>
      <c r="D18" s="8">
        <f t="shared" si="3"/>
        <v>7.82</v>
      </c>
      <c r="E18" s="7"/>
      <c r="F18" s="7"/>
      <c r="G18" s="7"/>
      <c r="H18" s="8">
        <v>7.82</v>
      </c>
      <c r="I18" s="32"/>
      <c r="J18" s="32"/>
      <c r="K18" s="78">
        <v>10</v>
      </c>
      <c r="L18" s="32"/>
      <c r="M18" s="32"/>
      <c r="N18" s="32"/>
      <c r="O18" s="32"/>
      <c r="P18" s="32"/>
    </row>
    <row r="19" spans="1:16" x14ac:dyDescent="0.3">
      <c r="A19" s="74" t="s">
        <v>33</v>
      </c>
      <c r="B19" s="31" t="s">
        <v>182</v>
      </c>
      <c r="C19" s="8">
        <v>75</v>
      </c>
      <c r="D19" s="8">
        <f t="shared" si="3"/>
        <v>0</v>
      </c>
      <c r="E19" s="7"/>
      <c r="F19" s="7"/>
      <c r="G19" s="7"/>
      <c r="H19" s="8"/>
      <c r="I19" s="32"/>
      <c r="J19" s="32"/>
      <c r="K19" s="78">
        <f>48+80</f>
        <v>128</v>
      </c>
      <c r="L19" s="32"/>
      <c r="M19" s="32">
        <v>4.5</v>
      </c>
      <c r="N19" s="32"/>
      <c r="O19" s="32"/>
      <c r="P19" s="32"/>
    </row>
    <row r="20" spans="1:16" x14ac:dyDescent="0.3">
      <c r="A20" s="74" t="s">
        <v>35</v>
      </c>
      <c r="B20" s="31" t="s">
        <v>146</v>
      </c>
      <c r="C20" s="8"/>
      <c r="D20" s="8">
        <f t="shared" si="3"/>
        <v>9.19</v>
      </c>
      <c r="E20" s="7">
        <f>8.28+0.91</f>
        <v>9.19</v>
      </c>
      <c r="F20" s="7"/>
      <c r="G20" s="7"/>
      <c r="H20" s="8"/>
      <c r="I20" s="32"/>
      <c r="J20" s="32"/>
      <c r="K20" s="78"/>
      <c r="L20" s="32"/>
      <c r="M20" s="32"/>
      <c r="N20" s="32"/>
      <c r="O20" s="32"/>
      <c r="P20" s="32"/>
    </row>
    <row r="21" spans="1:16" x14ac:dyDescent="0.3">
      <c r="A21" s="74" t="s">
        <v>36</v>
      </c>
      <c r="B21" s="31" t="s">
        <v>200</v>
      </c>
      <c r="C21" s="8"/>
      <c r="D21" s="8">
        <v>18</v>
      </c>
      <c r="E21" s="7">
        <v>8.7147000000000006</v>
      </c>
      <c r="F21" s="7"/>
      <c r="G21" s="7"/>
      <c r="H21" s="8"/>
      <c r="I21" s="32"/>
      <c r="J21" s="32"/>
      <c r="K21" s="78"/>
      <c r="L21" s="32"/>
      <c r="M21" s="32"/>
      <c r="N21" s="32"/>
      <c r="O21" s="32"/>
      <c r="P21" s="32"/>
    </row>
    <row r="22" spans="1:16" ht="41.4" x14ac:dyDescent="0.3">
      <c r="A22" s="74" t="s">
        <v>38</v>
      </c>
      <c r="B22" s="75" t="s">
        <v>211</v>
      </c>
      <c r="C22" s="8">
        <v>340</v>
      </c>
      <c r="D22" s="8">
        <v>499</v>
      </c>
      <c r="E22" s="7"/>
      <c r="F22" s="7">
        <f>100+2.16</f>
        <v>102.16</v>
      </c>
      <c r="G22" s="7">
        <f>2+188.85176</f>
        <v>190.85176000000001</v>
      </c>
      <c r="H22" s="8">
        <v>206.93039999999999</v>
      </c>
      <c r="I22" s="32"/>
      <c r="J22" s="32"/>
      <c r="K22" s="78"/>
      <c r="L22" s="32"/>
      <c r="M22" s="32">
        <v>70</v>
      </c>
      <c r="N22" s="32" t="s">
        <v>197</v>
      </c>
      <c r="O22" s="32"/>
      <c r="P22" s="32"/>
    </row>
    <row r="23" spans="1:16" x14ac:dyDescent="0.3">
      <c r="A23" s="74" t="s">
        <v>40</v>
      </c>
      <c r="B23" s="75" t="s">
        <v>205</v>
      </c>
      <c r="C23" s="8"/>
      <c r="D23" s="8">
        <v>13</v>
      </c>
      <c r="E23" s="7">
        <v>4.1783000000000001</v>
      </c>
      <c r="F23" s="7">
        <v>5.7709999999999999</v>
      </c>
      <c r="G23" s="7"/>
      <c r="H23" s="7"/>
      <c r="I23" s="32"/>
      <c r="J23" s="32"/>
      <c r="K23" s="78">
        <v>20</v>
      </c>
      <c r="L23" s="32"/>
      <c r="M23" s="32">
        <v>20</v>
      </c>
      <c r="N23" s="32" t="s">
        <v>198</v>
      </c>
      <c r="O23" s="32"/>
      <c r="P23" s="32"/>
    </row>
    <row r="24" spans="1:16" x14ac:dyDescent="0.3">
      <c r="A24" s="74" t="s">
        <v>42</v>
      </c>
      <c r="B24" s="31" t="s">
        <v>180</v>
      </c>
      <c r="C24" s="8">
        <v>40</v>
      </c>
      <c r="D24" s="8">
        <v>6.4</v>
      </c>
      <c r="E24" s="7"/>
      <c r="F24" s="7">
        <f>0.55575+3</f>
        <v>3.5557499999999997</v>
      </c>
      <c r="G24" s="7">
        <v>2.476</v>
      </c>
      <c r="H24" s="7"/>
      <c r="I24" s="32"/>
      <c r="J24" s="32"/>
      <c r="K24" s="78">
        <v>50</v>
      </c>
      <c r="L24" s="32"/>
      <c r="M24" s="32"/>
      <c r="N24" s="32"/>
      <c r="O24" s="32"/>
      <c r="P24" s="32"/>
    </row>
    <row r="25" spans="1:16" x14ac:dyDescent="0.3">
      <c r="A25" s="74" t="s">
        <v>46</v>
      </c>
      <c r="B25" s="30" t="s">
        <v>47</v>
      </c>
      <c r="C25" s="11">
        <f t="shared" ref="C25:H25" si="4">SUM(C26:C42)</f>
        <v>2240.5</v>
      </c>
      <c r="D25" s="11">
        <f>SUM(D26:D42)</f>
        <v>2266.5971900000004</v>
      </c>
      <c r="E25" s="42">
        <f t="shared" si="4"/>
        <v>572.37044000000003</v>
      </c>
      <c r="F25" s="42">
        <f t="shared" si="4"/>
        <v>557.43655000000012</v>
      </c>
      <c r="G25" s="42" t="e">
        <f t="shared" si="4"/>
        <v>#REF!</v>
      </c>
      <c r="H25" s="42" t="e">
        <f t="shared" si="4"/>
        <v>#REF!</v>
      </c>
      <c r="I25" s="32"/>
      <c r="J25" s="32"/>
      <c r="K25" s="78"/>
      <c r="L25" s="32"/>
      <c r="M25" s="32"/>
      <c r="N25" s="32"/>
      <c r="O25" s="32"/>
      <c r="P25" s="32"/>
    </row>
    <row r="26" spans="1:16" x14ac:dyDescent="0.3">
      <c r="A26" s="74" t="s">
        <v>48</v>
      </c>
      <c r="B26" s="31" t="s">
        <v>209</v>
      </c>
      <c r="C26" s="8">
        <v>1354</v>
      </c>
      <c r="D26" s="8">
        <f>SUM(E26:H26)+57.95</f>
        <v>1381.35058</v>
      </c>
      <c r="E26" s="77">
        <f>320.10707+21.49</f>
        <v>341.59707000000003</v>
      </c>
      <c r="F26" s="7">
        <f>298.30721+22.03</f>
        <v>320.33721000000003</v>
      </c>
      <c r="G26" s="8">
        <f>423.48149-111.2835</f>
        <v>312.19799</v>
      </c>
      <c r="H26" s="79">
        <f>90.376+99.63397+159.25834</f>
        <v>349.26831000000004</v>
      </c>
      <c r="I26" s="32"/>
      <c r="J26" s="32"/>
      <c r="K26" s="78"/>
      <c r="L26" s="32"/>
      <c r="M26" s="32"/>
      <c r="N26" s="32"/>
      <c r="O26" s="32"/>
      <c r="P26" s="32"/>
    </row>
    <row r="27" spans="1:16" x14ac:dyDescent="0.3">
      <c r="A27" s="74" t="s">
        <v>50</v>
      </c>
      <c r="B27" s="31" t="s">
        <v>51</v>
      </c>
      <c r="C27" s="8">
        <v>298</v>
      </c>
      <c r="D27" s="8">
        <v>267</v>
      </c>
      <c r="E27" s="7">
        <v>64.358599999999996</v>
      </c>
      <c r="F27" s="7">
        <v>60.779960000000003</v>
      </c>
      <c r="G27" s="8">
        <v>63.063989999999997</v>
      </c>
      <c r="H27" s="79">
        <f>18.25595+20.12606+32.17019</f>
        <v>70.552199999999999</v>
      </c>
      <c r="I27" s="32"/>
      <c r="J27" s="32"/>
      <c r="K27" s="78"/>
      <c r="L27" s="32"/>
      <c r="M27" s="32"/>
      <c r="N27" s="32"/>
      <c r="O27" s="32"/>
      <c r="P27" s="32"/>
    </row>
    <row r="28" spans="1:16" x14ac:dyDescent="0.3">
      <c r="A28" s="74" t="s">
        <v>52</v>
      </c>
      <c r="B28" s="31" t="s">
        <v>53</v>
      </c>
      <c r="C28" s="8">
        <v>14</v>
      </c>
      <c r="D28" s="8">
        <f t="shared" ref="D28:D40" si="5">SUM(E28:H28)</f>
        <v>14.4</v>
      </c>
      <c r="E28" s="7">
        <v>3.6</v>
      </c>
      <c r="F28" s="7">
        <v>3.6</v>
      </c>
      <c r="G28" s="79">
        <v>3.6</v>
      </c>
      <c r="H28" s="79">
        <v>3.6</v>
      </c>
      <c r="I28" s="32"/>
      <c r="J28" s="32"/>
      <c r="K28" s="78"/>
      <c r="L28" s="32"/>
      <c r="M28" s="32"/>
      <c r="N28" s="32"/>
      <c r="O28" s="32"/>
      <c r="P28" s="32"/>
    </row>
    <row r="29" spans="1:16" x14ac:dyDescent="0.3">
      <c r="A29" s="74" t="s">
        <v>219</v>
      </c>
      <c r="B29" s="31" t="s">
        <v>56</v>
      </c>
      <c r="C29" s="8">
        <v>120</v>
      </c>
      <c r="D29" s="8">
        <f t="shared" si="5"/>
        <v>120</v>
      </c>
      <c r="E29" s="7">
        <v>30</v>
      </c>
      <c r="F29" s="7">
        <v>30</v>
      </c>
      <c r="G29" s="79">
        <v>30</v>
      </c>
      <c r="H29" s="79">
        <v>30</v>
      </c>
      <c r="I29" s="32"/>
      <c r="J29" s="32"/>
      <c r="K29" s="78"/>
      <c r="L29" s="32"/>
      <c r="M29" s="32"/>
      <c r="N29" s="32"/>
      <c r="O29" s="32"/>
      <c r="P29" s="32"/>
    </row>
    <row r="30" spans="1:16" x14ac:dyDescent="0.3">
      <c r="A30" s="74" t="s">
        <v>55</v>
      </c>
      <c r="B30" s="31" t="s">
        <v>58</v>
      </c>
      <c r="C30" s="8">
        <v>3</v>
      </c>
      <c r="D30" s="8">
        <f t="shared" si="5"/>
        <v>3.5</v>
      </c>
      <c r="E30" s="7"/>
      <c r="F30" s="7"/>
      <c r="G30" s="8">
        <v>3.5</v>
      </c>
      <c r="H30" s="8"/>
      <c r="I30" s="32"/>
      <c r="J30" s="32"/>
      <c r="K30" s="78"/>
      <c r="L30" s="32"/>
      <c r="M30" s="32"/>
      <c r="N30" s="32"/>
      <c r="O30" s="32"/>
      <c r="P30" s="32"/>
    </row>
    <row r="31" spans="1:16" x14ac:dyDescent="0.3">
      <c r="A31" s="74" t="s">
        <v>57</v>
      </c>
      <c r="B31" s="31" t="s">
        <v>202</v>
      </c>
      <c r="C31" s="8">
        <v>18</v>
      </c>
      <c r="D31" s="8">
        <f t="shared" si="5"/>
        <v>18</v>
      </c>
      <c r="E31" s="7">
        <v>4.5</v>
      </c>
      <c r="F31" s="7">
        <v>4.5</v>
      </c>
      <c r="G31" s="8">
        <v>4.5</v>
      </c>
      <c r="H31" s="8">
        <v>4.5</v>
      </c>
      <c r="I31" s="32"/>
      <c r="J31" s="32"/>
      <c r="K31" s="78"/>
      <c r="L31" s="32"/>
      <c r="M31" s="32"/>
      <c r="N31" s="32"/>
      <c r="O31" s="32"/>
      <c r="P31" s="32"/>
    </row>
    <row r="32" spans="1:16" ht="27.6" x14ac:dyDescent="0.3">
      <c r="A32" s="74" t="s">
        <v>59</v>
      </c>
      <c r="B32" s="75" t="s">
        <v>215</v>
      </c>
      <c r="C32" s="8">
        <v>18</v>
      </c>
      <c r="D32" s="8">
        <f t="shared" si="5"/>
        <v>31.94314</v>
      </c>
      <c r="E32" s="7"/>
      <c r="F32" s="7">
        <f>13.94314+18</f>
        <v>31.94314</v>
      </c>
      <c r="G32" s="8"/>
      <c r="H32" s="8"/>
      <c r="I32" s="32"/>
      <c r="J32" s="32"/>
      <c r="K32" s="78"/>
      <c r="L32" s="32"/>
      <c r="M32" s="32"/>
      <c r="N32" s="32"/>
      <c r="O32" s="32"/>
      <c r="P32" s="32"/>
    </row>
    <row r="33" spans="1:16" ht="13.5" customHeight="1" x14ac:dyDescent="0.3">
      <c r="A33" s="74" t="s">
        <v>61</v>
      </c>
      <c r="B33" s="31" t="s">
        <v>201</v>
      </c>
      <c r="C33" s="8"/>
      <c r="D33" s="8">
        <v>26</v>
      </c>
      <c r="E33" s="7"/>
      <c r="F33" s="7">
        <f>8.13114+18</f>
        <v>26.131140000000002</v>
      </c>
      <c r="G33" s="8">
        <f>18.408</f>
        <v>18.408000000000001</v>
      </c>
      <c r="H33" s="8"/>
      <c r="I33" s="32"/>
      <c r="J33" s="32"/>
      <c r="K33" s="78"/>
      <c r="L33" s="32"/>
      <c r="M33" s="32"/>
      <c r="N33" s="32"/>
      <c r="O33" s="32"/>
      <c r="P33" s="32"/>
    </row>
    <row r="34" spans="1:16" x14ac:dyDescent="0.3">
      <c r="A34" s="74" t="s">
        <v>63</v>
      </c>
      <c r="B34" s="75" t="s">
        <v>115</v>
      </c>
      <c r="C34" s="8">
        <v>30</v>
      </c>
      <c r="D34" s="8">
        <f t="shared" si="5"/>
        <v>0</v>
      </c>
      <c r="E34" s="7"/>
      <c r="F34" s="7"/>
      <c r="G34" s="8"/>
      <c r="H34" s="8"/>
      <c r="I34" s="32"/>
      <c r="J34" s="32"/>
      <c r="K34" s="78"/>
      <c r="L34" s="32"/>
      <c r="M34" s="32"/>
      <c r="N34" s="32"/>
      <c r="O34" s="32"/>
      <c r="P34" s="32"/>
    </row>
    <row r="35" spans="1:16" x14ac:dyDescent="0.3">
      <c r="A35" s="74" t="s">
        <v>65</v>
      </c>
      <c r="B35" s="31" t="s">
        <v>64</v>
      </c>
      <c r="C35" s="8">
        <v>90</v>
      </c>
      <c r="D35" s="8">
        <v>97</v>
      </c>
      <c r="E35" s="80">
        <v>37.011119999999998</v>
      </c>
      <c r="F35" s="80">
        <v>20.453150000000001</v>
      </c>
      <c r="G35" s="8" t="e">
        <f>20.52507*#REF!/100</f>
        <v>#REF!</v>
      </c>
      <c r="H35" s="8" t="e">
        <f>(28.93629+14.30007)*#REF!/100</f>
        <v>#REF!</v>
      </c>
      <c r="I35" s="32"/>
      <c r="J35" s="32"/>
      <c r="K35" s="78"/>
      <c r="L35" s="32"/>
      <c r="M35" s="32"/>
      <c r="N35" s="32"/>
      <c r="O35" s="32"/>
      <c r="P35" s="32"/>
    </row>
    <row r="36" spans="1:16" x14ac:dyDescent="0.3">
      <c r="A36" s="74" t="s">
        <v>67</v>
      </c>
      <c r="B36" s="31" t="s">
        <v>66</v>
      </c>
      <c r="C36" s="8">
        <v>15</v>
      </c>
      <c r="D36" s="8">
        <f>SUM(E36:H36)+20</f>
        <v>25.917619999999999</v>
      </c>
      <c r="E36" s="80">
        <v>2.7405200000000001</v>
      </c>
      <c r="F36" s="8"/>
      <c r="G36" s="8"/>
      <c r="H36" s="7">
        <v>3.1770999999999998</v>
      </c>
      <c r="I36" s="32"/>
      <c r="J36" s="32"/>
      <c r="K36" s="78"/>
      <c r="L36" s="32"/>
      <c r="M36" s="32"/>
      <c r="N36" s="32"/>
      <c r="O36" s="32"/>
      <c r="P36" s="32"/>
    </row>
    <row r="37" spans="1:16" x14ac:dyDescent="0.3">
      <c r="A37" s="74" t="s">
        <v>160</v>
      </c>
      <c r="B37" s="31" t="s">
        <v>68</v>
      </c>
      <c r="C37" s="8">
        <v>130</v>
      </c>
      <c r="D37" s="8">
        <f t="shared" si="5"/>
        <v>135.65276999999998</v>
      </c>
      <c r="E37" s="80">
        <f>27.77105+2.65</f>
        <v>30.421049999999997</v>
      </c>
      <c r="F37" s="80">
        <f>30.73824+3.48</f>
        <v>34.218240000000002</v>
      </c>
      <c r="G37" s="8">
        <v>34.035919999999997</v>
      </c>
      <c r="H37" s="8">
        <f>22.47027+14.50729</f>
        <v>36.977559999999997</v>
      </c>
      <c r="I37" s="32"/>
      <c r="J37" s="32"/>
      <c r="K37" s="78"/>
      <c r="L37" s="32"/>
      <c r="M37" s="32"/>
      <c r="N37" s="32"/>
      <c r="O37" s="32"/>
      <c r="P37" s="32"/>
    </row>
    <row r="38" spans="1:16" x14ac:dyDescent="0.3">
      <c r="A38" s="74" t="s">
        <v>70</v>
      </c>
      <c r="B38" s="31" t="s">
        <v>214</v>
      </c>
      <c r="C38" s="8">
        <f>12+7</f>
        <v>19</v>
      </c>
      <c r="D38" s="8">
        <f>SUM(E38:H38)+6</f>
        <v>16.61553</v>
      </c>
      <c r="E38" s="7">
        <f>0.99839+4.2159+0.4841</f>
        <v>5.6983899999999998</v>
      </c>
      <c r="F38" s="7">
        <f>0.41714+0.35</f>
        <v>0.76713999999999993</v>
      </c>
      <c r="G38" s="8">
        <f>0.35</f>
        <v>0.35</v>
      </c>
      <c r="H38" s="7">
        <f>3.45+0.35</f>
        <v>3.8000000000000003</v>
      </c>
      <c r="I38" s="32"/>
      <c r="J38" s="32"/>
      <c r="K38" s="78"/>
      <c r="L38" s="32"/>
      <c r="M38" s="32"/>
      <c r="N38" s="32"/>
      <c r="O38" s="32"/>
      <c r="P38" s="32"/>
    </row>
    <row r="39" spans="1:16" x14ac:dyDescent="0.3">
      <c r="A39" s="74" t="s">
        <v>71</v>
      </c>
      <c r="B39" s="31" t="s">
        <v>206</v>
      </c>
      <c r="C39" s="8">
        <v>7</v>
      </c>
      <c r="D39" s="8">
        <v>13</v>
      </c>
      <c r="E39" s="7">
        <f>2.78+1.17</f>
        <v>3.9499999999999997</v>
      </c>
      <c r="F39" s="7">
        <f>0.042+2.98+0.28898+1.08</f>
        <v>4.3909799999999999</v>
      </c>
      <c r="G39" s="8">
        <f>0.028+0.084+0.42609+0.12+0.175+0.09+1.78+0.83498+0.082</f>
        <v>3.6200700000000001</v>
      </c>
      <c r="H39" s="8">
        <f>0.25+1.8</f>
        <v>2.0499999999999998</v>
      </c>
      <c r="I39" s="32"/>
      <c r="J39" s="32"/>
      <c r="K39" s="78"/>
      <c r="L39" s="32"/>
      <c r="M39" s="32"/>
      <c r="N39" s="32"/>
      <c r="O39" s="32"/>
      <c r="P39" s="32"/>
    </row>
    <row r="40" spans="1:16" x14ac:dyDescent="0.3">
      <c r="A40" s="74" t="s">
        <v>72</v>
      </c>
      <c r="B40" s="31" t="s">
        <v>75</v>
      </c>
      <c r="C40" s="8">
        <v>35</v>
      </c>
      <c r="D40" s="8">
        <f t="shared" si="5"/>
        <v>35.817550000000004</v>
      </c>
      <c r="E40" s="80">
        <f>5.37141+0.62</f>
        <v>5.9914100000000001</v>
      </c>
      <c r="F40" s="80">
        <f>7.43574+1.06</f>
        <v>8.4957399999999996</v>
      </c>
      <c r="G40" s="79">
        <f>10.31761</f>
        <v>10.31761</v>
      </c>
      <c r="H40" s="81">
        <f>11.01279</f>
        <v>11.012790000000001</v>
      </c>
      <c r="I40" s="32"/>
      <c r="J40" s="32"/>
      <c r="K40" s="78"/>
      <c r="L40" s="32"/>
      <c r="M40" s="32"/>
      <c r="N40" s="32"/>
      <c r="O40" s="32"/>
      <c r="P40" s="32"/>
    </row>
    <row r="41" spans="1:16" ht="13.5" customHeight="1" x14ac:dyDescent="0.3">
      <c r="A41" s="74" t="s">
        <v>73</v>
      </c>
      <c r="B41" s="31" t="s">
        <v>210</v>
      </c>
      <c r="C41" s="8">
        <f>15+5+1+2+3.5+3</f>
        <v>29.5</v>
      </c>
      <c r="D41" s="8">
        <v>38</v>
      </c>
      <c r="E41" s="7">
        <f>2.47228+0.38</f>
        <v>2.8522799999999999</v>
      </c>
      <c r="F41" s="7">
        <f>6.7206+2.88925+2.21</f>
        <v>11.819849999999999</v>
      </c>
      <c r="G41" s="8">
        <f>0.136+0.919+7.4506+1.67335+0.15+0.15</f>
        <v>10.478949999999999</v>
      </c>
      <c r="H41" s="8">
        <f>0.6615+4.74539+5.276+0.4+0.1196</f>
        <v>11.202490000000001</v>
      </c>
      <c r="I41" s="32"/>
      <c r="J41" s="32"/>
      <c r="K41" s="78"/>
      <c r="L41" s="32"/>
      <c r="M41" s="32"/>
      <c r="N41" s="32"/>
      <c r="O41" s="32"/>
      <c r="P41" s="32"/>
    </row>
    <row r="42" spans="1:16" customFormat="1" ht="14.4" x14ac:dyDescent="0.3">
      <c r="A42" s="74" t="s">
        <v>74</v>
      </c>
      <c r="B42" s="31" t="s">
        <v>114</v>
      </c>
      <c r="C42" s="82">
        <v>60</v>
      </c>
      <c r="D42" s="8">
        <v>42.4</v>
      </c>
      <c r="E42" s="77">
        <v>39.65</v>
      </c>
      <c r="F42" s="7"/>
      <c r="G42" s="18"/>
      <c r="H42" s="39"/>
      <c r="I42" s="34"/>
      <c r="J42" s="34"/>
      <c r="K42" s="83"/>
      <c r="L42" s="34"/>
      <c r="M42" s="34"/>
      <c r="N42" s="34"/>
      <c r="O42" s="34"/>
      <c r="P42" s="34"/>
    </row>
    <row r="43" spans="1:16" x14ac:dyDescent="0.3">
      <c r="A43" s="74" t="s">
        <v>161</v>
      </c>
      <c r="B43" s="30" t="s">
        <v>79</v>
      </c>
      <c r="C43" s="11">
        <v>295</v>
      </c>
      <c r="D43" s="11">
        <v>249</v>
      </c>
      <c r="E43" s="42" t="e">
        <f>#REF!+#REF!</f>
        <v>#REF!</v>
      </c>
      <c r="F43" s="42" t="e">
        <f>#REF!+#REF!</f>
        <v>#REF!</v>
      </c>
      <c r="G43" s="42" t="e">
        <f>#REF!+#REF!</f>
        <v>#REF!</v>
      </c>
      <c r="H43" s="42" t="e">
        <f>#REF!+#REF!</f>
        <v>#REF!</v>
      </c>
      <c r="I43" s="32"/>
      <c r="J43" s="32"/>
      <c r="K43" s="78"/>
      <c r="L43" s="32"/>
      <c r="M43" s="32"/>
      <c r="N43" s="32"/>
      <c r="O43" s="32"/>
      <c r="P43" s="32"/>
    </row>
    <row r="44" spans="1:16" customFormat="1" ht="15.6" x14ac:dyDescent="0.3">
      <c r="A44" s="74" t="s">
        <v>78</v>
      </c>
      <c r="B44" s="76" t="s">
        <v>208</v>
      </c>
      <c r="C44" s="38"/>
      <c r="D44" s="38">
        <v>41.87</v>
      </c>
      <c r="E44" s="42"/>
      <c r="F44" s="42" t="e">
        <f>#REF!+#REF!</f>
        <v>#REF!</v>
      </c>
      <c r="G44" s="42" t="e">
        <f>SUM(#REF!)</f>
        <v>#REF!</v>
      </c>
      <c r="H44" s="42" t="e">
        <f>SUM(#REF!)</f>
        <v>#REF!</v>
      </c>
      <c r="I44" s="84"/>
      <c r="J44" s="84"/>
      <c r="K44" s="85"/>
      <c r="L44" s="86"/>
      <c r="M44" s="34"/>
      <c r="N44" s="34"/>
      <c r="O44" s="34"/>
      <c r="P44" s="34"/>
    </row>
    <row r="45" spans="1:16" x14ac:dyDescent="0.3">
      <c r="A45" s="15"/>
      <c r="B45" s="15"/>
      <c r="C45" s="84"/>
      <c r="D45" s="84"/>
      <c r="E45" s="32"/>
      <c r="F45" s="32"/>
      <c r="G45" s="32"/>
      <c r="H45" s="84"/>
      <c r="I45" s="84"/>
      <c r="J45" s="84"/>
      <c r="K45" s="84"/>
      <c r="L45" s="84"/>
      <c r="M45" s="32"/>
      <c r="N45" s="32"/>
      <c r="O45" s="32"/>
      <c r="P45" s="32"/>
    </row>
    <row r="46" spans="1:16" x14ac:dyDescent="0.3">
      <c r="H46" s="15"/>
      <c r="I46" s="15"/>
      <c r="J46" s="15"/>
      <c r="K46" s="15"/>
    </row>
  </sheetData>
  <pageMargins left="0.25" right="0.25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3"/>
  <sheetViews>
    <sheetView tabSelected="1" workbookViewId="0">
      <selection activeCell="AA26" sqref="AA26"/>
    </sheetView>
  </sheetViews>
  <sheetFormatPr defaultRowHeight="14.4" x14ac:dyDescent="0.3"/>
  <cols>
    <col min="1" max="1" width="6.77734375" bestFit="1" customWidth="1"/>
    <col min="2" max="2" width="55" customWidth="1"/>
    <col min="3" max="5" width="9.109375" hidden="1" customWidth="1"/>
    <col min="6" max="7" width="8.88671875" hidden="1" customWidth="1"/>
    <col min="8" max="8" width="8" hidden="1" customWidth="1"/>
    <col min="9" max="9" width="10.88671875" customWidth="1"/>
    <col min="10" max="12" width="8.88671875" hidden="1" customWidth="1"/>
    <col min="13" max="13" width="10.33203125" customWidth="1"/>
    <col min="14" max="14" width="12" hidden="1" customWidth="1"/>
    <col min="15" max="15" width="14.6640625" hidden="1" customWidth="1"/>
    <col min="16" max="16" width="14.21875" hidden="1" customWidth="1"/>
    <col min="17" max="17" width="12.6640625" hidden="1" customWidth="1"/>
    <col min="18" max="24" width="0" hidden="1" customWidth="1"/>
  </cols>
  <sheetData>
    <row r="1" spans="1:19" s="1" customFormat="1" ht="43.5" customHeight="1" x14ac:dyDescent="0.3">
      <c r="A1" s="98" t="s">
        <v>222</v>
      </c>
      <c r="B1" s="99"/>
      <c r="C1" s="99"/>
      <c r="D1" s="99"/>
      <c r="E1" s="99"/>
      <c r="F1" s="99"/>
    </row>
    <row r="2" spans="1:19" ht="27.6" x14ac:dyDescent="0.3">
      <c r="A2" s="47"/>
      <c r="B2" s="47"/>
      <c r="C2" s="48" t="s">
        <v>2</v>
      </c>
      <c r="D2" s="48" t="s">
        <v>90</v>
      </c>
      <c r="E2" s="48" t="s">
        <v>92</v>
      </c>
      <c r="F2" s="49" t="s">
        <v>93</v>
      </c>
      <c r="G2" s="49" t="s">
        <v>170</v>
      </c>
      <c r="H2" s="49" t="s">
        <v>91</v>
      </c>
      <c r="I2" s="49" t="s">
        <v>171</v>
      </c>
      <c r="J2" s="60"/>
      <c r="K2" s="60"/>
      <c r="L2" s="60"/>
      <c r="M2" s="61" t="s">
        <v>196</v>
      </c>
      <c r="N2" s="61" t="s">
        <v>186</v>
      </c>
      <c r="O2" s="61" t="s">
        <v>187</v>
      </c>
      <c r="P2" s="61" t="s">
        <v>195</v>
      </c>
      <c r="Q2" s="63" t="s">
        <v>204</v>
      </c>
    </row>
    <row r="3" spans="1:19" ht="15.6" x14ac:dyDescent="0.3">
      <c r="A3" s="89">
        <v>1</v>
      </c>
      <c r="B3" s="76" t="s">
        <v>151</v>
      </c>
      <c r="C3" s="24">
        <f>C4+C6</f>
        <v>247.50600000000003</v>
      </c>
      <c r="D3" s="24">
        <f>D4+D6</f>
        <v>274.44304</v>
      </c>
      <c r="E3" s="24">
        <f>E4+E6</f>
        <v>468.56527999999997</v>
      </c>
      <c r="F3" s="24">
        <f>F4+F6</f>
        <v>469</v>
      </c>
      <c r="G3" s="24">
        <f>G4+G6</f>
        <v>470.70600000000002</v>
      </c>
      <c r="H3" s="39">
        <f>F3-G3</f>
        <v>-1.7060000000000173</v>
      </c>
      <c r="I3" s="38">
        <f>SUM(I4:I9)</f>
        <v>838.50600000000009</v>
      </c>
      <c r="J3" s="38">
        <f t="shared" ref="J3:M3" si="0">SUM(J4:J9)</f>
        <v>9.7200000000000006</v>
      </c>
      <c r="K3" s="38">
        <f t="shared" si="0"/>
        <v>9.7200000000000006</v>
      </c>
      <c r="L3" s="38">
        <f t="shared" si="0"/>
        <v>9.7200000000000006</v>
      </c>
      <c r="M3" s="38">
        <f t="shared" si="0"/>
        <v>1054.04331</v>
      </c>
      <c r="N3" s="44">
        <f>N4+N6</f>
        <v>219.49288999999999</v>
      </c>
      <c r="O3" s="44">
        <f>O4+O6</f>
        <v>265.18087000000003</v>
      </c>
      <c r="P3" s="44">
        <f>P4+P6</f>
        <v>302.89442999999994</v>
      </c>
      <c r="Q3" s="44">
        <f>Q4+Q6</f>
        <v>266.06851</v>
      </c>
    </row>
    <row r="4" spans="1:19" x14ac:dyDescent="0.3">
      <c r="A4" s="31"/>
      <c r="B4" s="31" t="s">
        <v>213</v>
      </c>
      <c r="C4" s="92">
        <f>11.706+38</f>
        <v>49.706000000000003</v>
      </c>
      <c r="D4" s="92">
        <f>26.04304+39</f>
        <v>65.043040000000005</v>
      </c>
      <c r="E4" s="8">
        <f>3.5+1.149+8.34631-0.82103+3.967-0.576</f>
        <v>15.565279999999998</v>
      </c>
      <c r="F4" s="8">
        <v>10</v>
      </c>
      <c r="G4" s="92">
        <f>11.006+0.7</f>
        <v>11.706</v>
      </c>
      <c r="H4" s="92">
        <f t="shared" ref="H4:H21" si="1">F4-G4</f>
        <v>-1.7059999999999995</v>
      </c>
      <c r="I4" s="92">
        <f>11.706</f>
        <v>11.706</v>
      </c>
      <c r="J4" s="93"/>
      <c r="K4" s="93"/>
      <c r="L4" s="93"/>
      <c r="M4" s="92">
        <f>26.04304</f>
        <v>26.043040000000001</v>
      </c>
      <c r="N4" s="40">
        <f>0.25+4.5936</f>
        <v>4.8436000000000003</v>
      </c>
      <c r="O4" s="40">
        <f>0.5+0.52647+1.6072</f>
        <v>2.63367</v>
      </c>
      <c r="P4" s="54">
        <f>1+1+1.75+3.32392+2.62345</f>
        <v>9.6973699999999994</v>
      </c>
      <c r="Q4" s="55">
        <f>1.75+4.29385+2.82455+0.75</f>
        <v>9.6183999999999994</v>
      </c>
    </row>
    <row r="5" spans="1:19" s="1" customFormat="1" x14ac:dyDescent="0.3">
      <c r="A5" s="31"/>
      <c r="B5" s="31" t="s">
        <v>107</v>
      </c>
      <c r="C5" s="92">
        <v>459</v>
      </c>
      <c r="D5" s="94">
        <v>450.75</v>
      </c>
      <c r="E5" s="8"/>
      <c r="F5" s="8">
        <v>38</v>
      </c>
      <c r="G5" s="8">
        <v>38.951999999999998</v>
      </c>
      <c r="H5" s="8">
        <v>38</v>
      </c>
      <c r="I5" s="92">
        <v>459</v>
      </c>
      <c r="J5" s="52">
        <v>9.7200000000000006</v>
      </c>
      <c r="K5" s="52">
        <v>9.7200000000000006</v>
      </c>
      <c r="L5" s="52">
        <f>3.24*3</f>
        <v>9.7200000000000006</v>
      </c>
      <c r="M5" s="94">
        <v>450.75</v>
      </c>
      <c r="N5" s="43"/>
      <c r="P5" s="59"/>
    </row>
    <row r="6" spans="1:19" x14ac:dyDescent="0.3">
      <c r="A6" s="87"/>
      <c r="B6" s="87" t="s">
        <v>212</v>
      </c>
      <c r="C6" s="94">
        <v>197.8</v>
      </c>
      <c r="D6" s="94">
        <v>209.39999999999998</v>
      </c>
      <c r="E6" s="8">
        <f>E7+E10+E11</f>
        <v>453</v>
      </c>
      <c r="F6" s="8">
        <f>F7+F10+F11</f>
        <v>459</v>
      </c>
      <c r="G6" s="8">
        <f>G7+G10+G11</f>
        <v>459</v>
      </c>
      <c r="H6" s="92">
        <f t="shared" si="1"/>
        <v>0</v>
      </c>
      <c r="I6" s="94">
        <v>197.8</v>
      </c>
      <c r="J6" s="93"/>
      <c r="K6" s="93"/>
      <c r="L6" s="93"/>
      <c r="M6" s="94">
        <v>209.39999999999998</v>
      </c>
      <c r="N6" s="41">
        <f>SUM(N7:N11)</f>
        <v>214.64928999999998</v>
      </c>
      <c r="O6" s="41">
        <f>SUM(O7:O11)</f>
        <v>262.54720000000003</v>
      </c>
      <c r="P6" s="53">
        <f>SUM(P7:P11)</f>
        <v>293.19705999999996</v>
      </c>
      <c r="Q6" s="53">
        <f>SUM(Q7:Q11)</f>
        <v>256.45011</v>
      </c>
    </row>
    <row r="7" spans="1:19" x14ac:dyDescent="0.3">
      <c r="A7" s="31"/>
      <c r="B7" s="31" t="s">
        <v>131</v>
      </c>
      <c r="C7" s="92">
        <v>170</v>
      </c>
      <c r="D7" s="92">
        <v>209.42729999999997</v>
      </c>
      <c r="E7" s="8">
        <v>453</v>
      </c>
      <c r="F7" s="8">
        <f>750*51*12/1000</f>
        <v>459</v>
      </c>
      <c r="G7" s="92">
        <v>459</v>
      </c>
      <c r="H7" s="92">
        <f t="shared" si="1"/>
        <v>0</v>
      </c>
      <c r="I7" s="92">
        <v>170</v>
      </c>
      <c r="J7" s="93"/>
      <c r="K7" s="93"/>
      <c r="L7" s="93"/>
      <c r="M7" s="92">
        <v>209.42729999999997</v>
      </c>
      <c r="N7" s="40">
        <v>111.75</v>
      </c>
      <c r="O7" s="55">
        <v>107.25</v>
      </c>
      <c r="P7" s="55">
        <f>38.25+38.25+38.25</f>
        <v>114.75</v>
      </c>
      <c r="Q7" s="40">
        <f>39+39+39</f>
        <v>117</v>
      </c>
    </row>
    <row r="8" spans="1:19" x14ac:dyDescent="0.3">
      <c r="A8" s="31"/>
      <c r="B8" s="31" t="s">
        <v>191</v>
      </c>
      <c r="C8" s="92"/>
      <c r="D8" s="94">
        <v>129.99096</v>
      </c>
      <c r="E8" s="8"/>
      <c r="F8" s="8"/>
      <c r="G8" s="92"/>
      <c r="H8" s="92"/>
      <c r="I8" s="92"/>
      <c r="J8" s="93"/>
      <c r="K8" s="93"/>
      <c r="L8" s="93"/>
      <c r="M8" s="94">
        <v>129.99096</v>
      </c>
      <c r="N8" s="40">
        <v>12.261649999999999</v>
      </c>
      <c r="O8" s="70">
        <v>35.587060000000001</v>
      </c>
      <c r="P8" s="55">
        <f>13.45913+13.20904+13.29873</f>
        <v>39.966900000000003</v>
      </c>
      <c r="Q8" s="40">
        <f>29.17535+13.61858</f>
        <v>42.793930000000003</v>
      </c>
    </row>
    <row r="9" spans="1:19" x14ac:dyDescent="0.3">
      <c r="A9" s="87"/>
      <c r="B9" s="31" t="s">
        <v>192</v>
      </c>
      <c r="C9" s="92"/>
      <c r="D9" s="94">
        <v>28.432009999999998</v>
      </c>
      <c r="E9" s="8"/>
      <c r="F9" s="8"/>
      <c r="G9" s="92"/>
      <c r="H9" s="92"/>
      <c r="I9" s="92"/>
      <c r="J9" s="93"/>
      <c r="K9" s="93"/>
      <c r="L9" s="93"/>
      <c r="M9" s="94">
        <v>28.432009999999998</v>
      </c>
      <c r="N9" s="40">
        <v>2.7930100000000002</v>
      </c>
      <c r="O9" s="70">
        <v>8.2214700000000001</v>
      </c>
      <c r="P9" s="55">
        <f>2.92586+2.92203+2.98527</f>
        <v>8.8331599999999995</v>
      </c>
      <c r="Q9" s="40">
        <f>5.58437+1.82481</f>
        <v>7.4091800000000001</v>
      </c>
    </row>
    <row r="10" spans="1:19" x14ac:dyDescent="0.3">
      <c r="A10" s="87"/>
      <c r="B10" s="87"/>
      <c r="C10" s="65"/>
      <c r="D10" s="65"/>
      <c r="E10" s="65"/>
      <c r="F10" s="65"/>
      <c r="G10" s="94"/>
      <c r="H10" s="94"/>
      <c r="I10" s="94"/>
      <c r="J10" s="93"/>
      <c r="K10" s="93"/>
      <c r="L10" s="93"/>
      <c r="M10" s="95"/>
      <c r="N10" s="66">
        <v>50.4</v>
      </c>
      <c r="O10" s="67">
        <v>54.8</v>
      </c>
      <c r="P10" s="67">
        <f>17.4+17.4+17.2</f>
        <v>52</v>
      </c>
      <c r="Q10" s="66">
        <f>17+17.6+17</f>
        <v>51.6</v>
      </c>
    </row>
    <row r="11" spans="1:19" x14ac:dyDescent="0.3">
      <c r="A11" s="31"/>
      <c r="B11" s="31"/>
      <c r="C11" s="8"/>
      <c r="D11" s="8"/>
      <c r="E11" s="8"/>
      <c r="F11" s="8"/>
      <c r="G11" s="39"/>
      <c r="H11" s="39"/>
      <c r="I11" s="39"/>
      <c r="J11" s="91"/>
      <c r="K11" s="91"/>
      <c r="L11" s="91"/>
      <c r="M11" s="55"/>
      <c r="N11" s="40">
        <v>37.444629999999997</v>
      </c>
      <c r="O11" s="40">
        <v>56.688670000000002</v>
      </c>
      <c r="P11" s="55">
        <f>40+37.647</f>
        <v>77.646999999999991</v>
      </c>
      <c r="Q11" s="55">
        <v>37.646999999999998</v>
      </c>
    </row>
    <row r="12" spans="1:19" ht="15.6" x14ac:dyDescent="0.3">
      <c r="A12" s="89">
        <v>2</v>
      </c>
      <c r="B12" s="76" t="s">
        <v>152</v>
      </c>
      <c r="C12" s="24" t="e">
        <f>C13+C14+C15+C16+C17+#REF!+C19+C20</f>
        <v>#REF!</v>
      </c>
      <c r="D12" s="24">
        <f>SUM(D13:D21)</f>
        <v>685</v>
      </c>
      <c r="E12" s="24">
        <f>SUM(E13:E21)</f>
        <v>744.05444000000011</v>
      </c>
      <c r="F12" s="24">
        <f>SUM(F13:F21)</f>
        <v>759.7</v>
      </c>
      <c r="G12" s="24">
        <f>SUM(G13:G21)</f>
        <v>751.23002999999994</v>
      </c>
      <c r="H12" s="39">
        <f t="shared" si="1"/>
        <v>8.469970000000103</v>
      </c>
      <c r="I12" s="38">
        <f t="shared" ref="I12:Q12" si="2">SUM(I13:I21)</f>
        <v>858.94399999999996</v>
      </c>
      <c r="J12" s="38">
        <f t="shared" si="2"/>
        <v>0</v>
      </c>
      <c r="K12" s="38">
        <f t="shared" si="2"/>
        <v>0</v>
      </c>
      <c r="L12" s="38">
        <f t="shared" si="2"/>
        <v>0</v>
      </c>
      <c r="M12" s="38">
        <f t="shared" si="2"/>
        <v>708.78591999999992</v>
      </c>
      <c r="N12" s="44">
        <f t="shared" si="2"/>
        <v>157.68988999999999</v>
      </c>
      <c r="O12" s="44">
        <f t="shared" si="2"/>
        <v>172.93262999999999</v>
      </c>
      <c r="P12" s="44">
        <f t="shared" si="2"/>
        <v>170.51476999999997</v>
      </c>
      <c r="Q12" s="44" t="e">
        <f t="shared" si="2"/>
        <v>#REF!</v>
      </c>
    </row>
    <row r="13" spans="1:19" x14ac:dyDescent="0.3">
      <c r="A13" s="74" t="s">
        <v>83</v>
      </c>
      <c r="B13" s="31" t="s">
        <v>109</v>
      </c>
      <c r="C13" s="8">
        <v>344.2</v>
      </c>
      <c r="D13" s="8">
        <v>380</v>
      </c>
      <c r="E13" s="8">
        <v>410.71874000000003</v>
      </c>
      <c r="F13" s="8">
        <f>30*13</f>
        <v>390</v>
      </c>
      <c r="G13" s="39">
        <f>454.43003+5.75</f>
        <v>460.18002999999999</v>
      </c>
      <c r="H13" s="39">
        <f t="shared" si="1"/>
        <v>-70.180029999999988</v>
      </c>
      <c r="I13" s="39">
        <f>496.4+40+12-1</f>
        <v>547.4</v>
      </c>
      <c r="J13" s="90" t="s">
        <v>183</v>
      </c>
      <c r="K13" s="90"/>
      <c r="L13" s="90"/>
      <c r="M13" s="88">
        <f>SUM(N13:Q13)</f>
        <v>476.86592000000002</v>
      </c>
      <c r="N13" s="40">
        <v>115.30706000000001</v>
      </c>
      <c r="O13" s="40">
        <v>109.04788000000001</v>
      </c>
      <c r="P13" s="55">
        <f>111.2835</f>
        <v>111.2835</v>
      </c>
      <c r="Q13" s="69">
        <f>36.425+39.73948+65.063</f>
        <v>141.22748000000001</v>
      </c>
      <c r="S13" s="68"/>
    </row>
    <row r="14" spans="1:19" x14ac:dyDescent="0.3">
      <c r="A14" s="74" t="s">
        <v>84</v>
      </c>
      <c r="B14" s="31" t="s">
        <v>110</v>
      </c>
      <c r="C14" s="8">
        <v>68.8</v>
      </c>
      <c r="D14" s="8">
        <v>70</v>
      </c>
      <c r="E14" s="8">
        <v>82.14</v>
      </c>
      <c r="F14" s="8">
        <f>F13*23/100</f>
        <v>89.7</v>
      </c>
      <c r="G14" s="39">
        <f>90.886</f>
        <v>90.885999999999996</v>
      </c>
      <c r="H14" s="39">
        <f t="shared" si="1"/>
        <v>-1.1859999999999928</v>
      </c>
      <c r="I14" s="39">
        <f>I13*0.2</f>
        <v>109.48</v>
      </c>
      <c r="J14" s="90"/>
      <c r="K14" s="90"/>
      <c r="L14" s="90"/>
      <c r="M14" s="88">
        <v>96</v>
      </c>
      <c r="N14" s="40">
        <v>27.632829999999998</v>
      </c>
      <c r="O14" s="40">
        <v>35.255969999999998</v>
      </c>
      <c r="P14" s="55">
        <v>22.47927</v>
      </c>
      <c r="Q14" s="55">
        <f>28.2455+0.28246</f>
        <v>28.52796</v>
      </c>
    </row>
    <row r="15" spans="1:19" s="1" customFormat="1" x14ac:dyDescent="0.3">
      <c r="A15" s="10" t="s">
        <v>100</v>
      </c>
      <c r="B15" s="2" t="s">
        <v>54</v>
      </c>
      <c r="C15" s="8">
        <v>42.04</v>
      </c>
      <c r="D15" s="8">
        <v>30</v>
      </c>
      <c r="E15" s="8">
        <v>51.243000000000002</v>
      </c>
      <c r="F15" s="8">
        <v>50</v>
      </c>
      <c r="G15" s="8">
        <v>20</v>
      </c>
      <c r="H15" s="18">
        <f t="shared" si="1"/>
        <v>30</v>
      </c>
      <c r="I15" s="18">
        <v>20</v>
      </c>
      <c r="M15" s="88">
        <f t="shared" ref="M15:M19" si="3">SUM(N15:Q15)</f>
        <v>10.520000000000003</v>
      </c>
      <c r="N15" s="51"/>
      <c r="O15" s="51">
        <v>6.1760000000000002</v>
      </c>
      <c r="P15" s="51">
        <v>15.332000000000001</v>
      </c>
      <c r="Q15" s="62">
        <v>-10.988</v>
      </c>
    </row>
    <row r="16" spans="1:19" x14ac:dyDescent="0.3">
      <c r="A16" s="10" t="s">
        <v>134</v>
      </c>
      <c r="B16" s="2" t="s">
        <v>207</v>
      </c>
      <c r="C16" s="8"/>
      <c r="D16" s="8"/>
      <c r="E16" s="8">
        <f>10.5+1.715</f>
        <v>12.215</v>
      </c>
      <c r="F16" s="8">
        <f>20+30</f>
        <v>50</v>
      </c>
      <c r="G16" s="39">
        <v>30</v>
      </c>
      <c r="H16" s="18">
        <f t="shared" si="1"/>
        <v>20</v>
      </c>
      <c r="I16" s="18">
        <f t="shared" ref="I16:I20" si="4">G16</f>
        <v>30</v>
      </c>
      <c r="M16" s="88">
        <v>32</v>
      </c>
      <c r="N16" s="40">
        <v>4.25</v>
      </c>
      <c r="O16" s="40">
        <v>2.92</v>
      </c>
      <c r="P16" s="55">
        <f>5.51+0.536</f>
        <v>6.0459999999999994</v>
      </c>
      <c r="Q16" s="55" t="e">
        <f>0.3+(28.93629+14.30007)*#REF!/100</f>
        <v>#REF!</v>
      </c>
    </row>
    <row r="17" spans="1:25" x14ac:dyDescent="0.3">
      <c r="A17" s="10" t="s">
        <v>101</v>
      </c>
      <c r="B17" s="2" t="s">
        <v>203</v>
      </c>
      <c r="C17" s="8">
        <v>25.14</v>
      </c>
      <c r="D17" s="8">
        <f>45+70</f>
        <v>115</v>
      </c>
      <c r="E17" s="8">
        <f>10.67+6.04+37.107+2.37+3.192+107+7.5</f>
        <v>173.87899999999999</v>
      </c>
      <c r="F17" s="8">
        <f>15+5+8</f>
        <v>28</v>
      </c>
      <c r="G17" s="39">
        <f>15.5+45.4+6</f>
        <v>66.900000000000006</v>
      </c>
      <c r="H17" s="18">
        <f t="shared" si="1"/>
        <v>-38.900000000000006</v>
      </c>
      <c r="I17" s="18">
        <v>42</v>
      </c>
      <c r="M17" s="88">
        <v>52.4</v>
      </c>
      <c r="N17" s="40">
        <v>10.5</v>
      </c>
      <c r="O17" s="40">
        <v>7.9290000000000003</v>
      </c>
      <c r="P17" s="64">
        <f>1.5+3.648+7.226</f>
        <v>12.373999999999999</v>
      </c>
      <c r="Q17" s="40">
        <f>17.5+1.5</f>
        <v>19</v>
      </c>
      <c r="S17">
        <f>8000+6148</f>
        <v>14148</v>
      </c>
      <c r="T17">
        <f>3900</f>
        <v>3900</v>
      </c>
      <c r="U17">
        <v>1500</v>
      </c>
    </row>
    <row r="18" spans="1:25" ht="27.6" x14ac:dyDescent="0.3">
      <c r="A18" s="10" t="s">
        <v>102</v>
      </c>
      <c r="B18" s="3" t="s">
        <v>154</v>
      </c>
      <c r="C18" s="8"/>
      <c r="D18" s="8"/>
      <c r="E18" s="8"/>
      <c r="F18" s="8">
        <v>70</v>
      </c>
      <c r="G18" s="38">
        <v>43.2</v>
      </c>
      <c r="H18" s="18">
        <f t="shared" si="1"/>
        <v>26.799999999999997</v>
      </c>
      <c r="I18" s="18">
        <v>60</v>
      </c>
      <c r="M18" s="88">
        <f t="shared" si="3"/>
        <v>0</v>
      </c>
      <c r="N18" s="40"/>
      <c r="O18" s="40"/>
      <c r="P18" s="64"/>
      <c r="Q18" s="40"/>
    </row>
    <row r="19" spans="1:25" ht="27.6" x14ac:dyDescent="0.3">
      <c r="A19" s="10" t="s">
        <v>103</v>
      </c>
      <c r="B19" s="3" t="s">
        <v>179</v>
      </c>
      <c r="C19" s="8"/>
      <c r="D19" s="8">
        <v>50</v>
      </c>
      <c r="E19" s="8"/>
      <c r="F19" s="8">
        <v>32</v>
      </c>
      <c r="G19" s="39"/>
      <c r="H19" s="18">
        <f t="shared" si="1"/>
        <v>32</v>
      </c>
      <c r="I19" s="18">
        <v>0</v>
      </c>
      <c r="M19" s="88">
        <f t="shared" si="3"/>
        <v>3</v>
      </c>
      <c r="N19" s="40"/>
      <c r="O19" s="40"/>
      <c r="P19" s="64">
        <f>3</f>
        <v>3</v>
      </c>
      <c r="Q19" s="40"/>
    </row>
    <row r="20" spans="1:25" x14ac:dyDescent="0.3">
      <c r="A20" s="10" t="s">
        <v>104</v>
      </c>
      <c r="B20" s="2" t="s">
        <v>69</v>
      </c>
      <c r="C20" s="8">
        <v>31</v>
      </c>
      <c r="D20" s="8">
        <v>40</v>
      </c>
      <c r="E20" s="8">
        <f>9+4.8587</f>
        <v>13.858699999999999</v>
      </c>
      <c r="F20" s="8">
        <v>40</v>
      </c>
      <c r="G20" s="39">
        <f>22.1+18.964-1</f>
        <v>40.064</v>
      </c>
      <c r="H20" s="18">
        <f t="shared" si="1"/>
        <v>-6.4000000000000057E-2</v>
      </c>
      <c r="I20" s="18">
        <f t="shared" si="4"/>
        <v>40.064</v>
      </c>
      <c r="M20" s="88">
        <v>30</v>
      </c>
      <c r="N20" s="40"/>
      <c r="O20" s="40"/>
      <c r="P20" s="64"/>
      <c r="Q20" s="55">
        <f>20.688+4.1376+0.04138</f>
        <v>24.866979999999998</v>
      </c>
    </row>
    <row r="21" spans="1:25" x14ac:dyDescent="0.3">
      <c r="A21" s="10" t="s">
        <v>105</v>
      </c>
      <c r="B21" s="2" t="s">
        <v>220</v>
      </c>
      <c r="C21" s="8"/>
      <c r="D21" s="8"/>
      <c r="E21" s="8"/>
      <c r="F21" s="8">
        <v>10</v>
      </c>
      <c r="G21" s="39">
        <v>0</v>
      </c>
      <c r="H21" s="18">
        <f t="shared" si="1"/>
        <v>10</v>
      </c>
      <c r="I21" s="18">
        <v>10</v>
      </c>
      <c r="M21" s="88">
        <v>8</v>
      </c>
      <c r="N21" s="40"/>
      <c r="O21" s="55">
        <f>6.2+5.40378</f>
        <v>11.60378</v>
      </c>
      <c r="P21" s="64"/>
      <c r="Q21" s="40"/>
    </row>
    <row r="22" spans="1:25" x14ac:dyDescent="0.3">
      <c r="A22" s="2"/>
      <c r="B22" s="5" t="s">
        <v>216</v>
      </c>
      <c r="C22" s="2"/>
      <c r="D22" s="2"/>
      <c r="E22" s="2"/>
      <c r="F22" s="2"/>
      <c r="G22" s="17"/>
      <c r="H22" s="17"/>
      <c r="I22" s="18">
        <v>-173</v>
      </c>
      <c r="J22" s="18" t="e">
        <f>#REF!+'БДР(ОД)'!#REF!</f>
        <v>#REF!</v>
      </c>
      <c r="K22" s="18" t="e">
        <f>#REF!+'БДР(ОД)'!#REF!</f>
        <v>#REF!</v>
      </c>
      <c r="L22" s="18" t="e">
        <f>#REF!+'БДР(ОД)'!#REF!</f>
        <v>#REF!</v>
      </c>
      <c r="M22" s="18">
        <f>'БДР(ОД)'!D3-'БДР(ОД)'!D12+'БДР (ПД)'!M3-'БДР (ПД)'!M12</f>
        <v>123.12548000000004</v>
      </c>
      <c r="N22" s="34" t="e">
        <f>#REF!+'БДР(ОД)'!#REF!</f>
        <v>#REF!</v>
      </c>
      <c r="O22" s="34" t="e">
        <f>#REF!+'БДР(ОД)'!#REF!</f>
        <v>#REF!</v>
      </c>
      <c r="P22" s="34" t="e">
        <f>#REF!+'БДР(ОД)'!#REF!</f>
        <v>#REF!</v>
      </c>
      <c r="Q22" s="34" t="e">
        <f>#REF!+'БДР(ОД)'!#REF!</f>
        <v>#REF!</v>
      </c>
      <c r="R22" s="34" t="e">
        <f>#REF!+'БДР(ОД)'!#REF!</f>
        <v>#REF!</v>
      </c>
      <c r="S22" s="34" t="e">
        <f>#REF!+'БДР(ОД)'!#REF!</f>
        <v>#REF!</v>
      </c>
      <c r="T22" s="34" t="e">
        <f>#REF!+'БДР(ОД)'!#REF!</f>
        <v>#REF!</v>
      </c>
      <c r="U22" s="34" t="e">
        <f>#REF!+'БДР(ОД)'!#REF!</f>
        <v>#REF!</v>
      </c>
      <c r="V22" s="34" t="e">
        <f>#REF!+'БДР(ОД)'!#REF!</f>
        <v>#REF!</v>
      </c>
      <c r="W22" s="34" t="e">
        <f>#REF!+'БДР(ОД)'!#REF!</f>
        <v>#REF!</v>
      </c>
      <c r="X22" s="34" t="e">
        <f>#REF!+'БДР(ОД)'!#REF!</f>
        <v>#REF!</v>
      </c>
      <c r="Y22" s="34"/>
    </row>
    <row r="23" spans="1:25" x14ac:dyDescent="0.3">
      <c r="M23" s="34"/>
      <c r="R23" s="68"/>
    </row>
  </sheetData>
  <mergeCells count="1">
    <mergeCell ref="A1:F1"/>
  </mergeCell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9"/>
  <sheetViews>
    <sheetView workbookViewId="0">
      <selection activeCell="B65" sqref="B65"/>
    </sheetView>
  </sheetViews>
  <sheetFormatPr defaultColWidth="9.109375" defaultRowHeight="13.8" x14ac:dyDescent="0.3"/>
  <cols>
    <col min="1" max="1" width="5.88671875" style="1" bestFit="1" customWidth="1"/>
    <col min="2" max="2" width="51" style="1" customWidth="1"/>
    <col min="3" max="3" width="7.5546875" style="1" hidden="1" customWidth="1"/>
    <col min="4" max="4" width="7.33203125" style="1" customWidth="1"/>
    <col min="5" max="5" width="7" style="1" bestFit="1" customWidth="1"/>
    <col min="6" max="6" width="7" style="1" customWidth="1"/>
    <col min="7" max="7" width="8.88671875" style="1" bestFit="1" customWidth="1"/>
    <col min="8" max="16384" width="9.109375" style="1"/>
  </cols>
  <sheetData>
    <row r="1" spans="1:11" x14ac:dyDescent="0.3">
      <c r="B1" s="100" t="s">
        <v>168</v>
      </c>
      <c r="C1" s="100"/>
      <c r="D1" s="100"/>
    </row>
    <row r="2" spans="1:11" ht="7.5" customHeight="1" x14ac:dyDescent="0.3"/>
    <row r="3" spans="1:11" ht="28.5" customHeight="1" x14ac:dyDescent="0.3">
      <c r="A3" s="2" t="s">
        <v>0</v>
      </c>
      <c r="B3" s="2" t="s">
        <v>1</v>
      </c>
      <c r="C3" s="3" t="s">
        <v>2</v>
      </c>
      <c r="D3" s="3" t="s">
        <v>90</v>
      </c>
      <c r="E3" s="3" t="s">
        <v>92</v>
      </c>
      <c r="F3" s="3" t="s">
        <v>91</v>
      </c>
      <c r="G3" s="3" t="s">
        <v>93</v>
      </c>
    </row>
    <row r="4" spans="1:11" ht="28.5" customHeight="1" x14ac:dyDescent="0.3">
      <c r="A4" s="2">
        <v>1</v>
      </c>
      <c r="B4" s="20" t="s">
        <v>128</v>
      </c>
      <c r="C4" s="22"/>
      <c r="D4" s="23">
        <f>D5+D10+D11</f>
        <v>2801.6</v>
      </c>
      <c r="E4" s="23">
        <f t="shared" ref="E4:G4" si="0">E5+E10+E11</f>
        <v>3075.1322799999998</v>
      </c>
      <c r="F4" s="28">
        <f t="shared" si="0"/>
        <v>273.53228000000018</v>
      </c>
      <c r="G4" s="23" t="e">
        <f t="shared" si="0"/>
        <v>#REF!</v>
      </c>
    </row>
    <row r="5" spans="1:11" x14ac:dyDescent="0.3">
      <c r="A5" s="4" t="s">
        <v>3</v>
      </c>
      <c r="B5" s="5" t="s">
        <v>4</v>
      </c>
      <c r="C5" s="6">
        <f>C6+C7+C8+C9+C1</f>
        <v>2465.6190000000001</v>
      </c>
      <c r="D5" s="6">
        <f>D6+D7+D8+D9+D1</f>
        <v>2592.1999999999998</v>
      </c>
      <c r="E5" s="6">
        <f>E6+E7+E8+E9</f>
        <v>2606.567</v>
      </c>
      <c r="F5" s="7">
        <f>E5-D5</f>
        <v>14.367000000000189</v>
      </c>
      <c r="G5" s="6" t="e">
        <f>G6+G7+G8+G9</f>
        <v>#REF!</v>
      </c>
      <c r="I5" s="21"/>
      <c r="J5" s="21"/>
      <c r="K5" s="21"/>
    </row>
    <row r="6" spans="1:11" x14ac:dyDescent="0.3">
      <c r="A6" s="4" t="s">
        <v>5</v>
      </c>
      <c r="B6" s="2" t="s">
        <v>6</v>
      </c>
      <c r="C6" s="7">
        <v>136.44399999999999</v>
      </c>
      <c r="D6" s="8">
        <f>D17</f>
        <v>188.2</v>
      </c>
      <c r="E6" s="8">
        <v>173.14</v>
      </c>
      <c r="F6" s="7">
        <f t="shared" ref="F6:F74" si="1">E6-D6</f>
        <v>-15.060000000000002</v>
      </c>
      <c r="G6" s="8">
        <v>199</v>
      </c>
      <c r="I6" s="21"/>
      <c r="J6" s="21"/>
      <c r="K6" s="21"/>
    </row>
    <row r="7" spans="1:11" x14ac:dyDescent="0.3">
      <c r="A7" s="4" t="s">
        <v>7</v>
      </c>
      <c r="B7" s="2" t="s">
        <v>8</v>
      </c>
      <c r="C7" s="7">
        <v>427.08600000000001</v>
      </c>
      <c r="D7" s="7">
        <v>427</v>
      </c>
      <c r="E7" s="7">
        <v>454.8</v>
      </c>
      <c r="F7" s="7">
        <f t="shared" si="1"/>
        <v>27.800000000000011</v>
      </c>
      <c r="G7" s="8" t="e">
        <f>'БДР(ОД)'!#REF!</f>
        <v>#REF!</v>
      </c>
      <c r="I7" s="21"/>
      <c r="J7" s="21"/>
      <c r="K7" s="21"/>
    </row>
    <row r="8" spans="1:11" x14ac:dyDescent="0.3">
      <c r="A8" s="4" t="s">
        <v>9</v>
      </c>
      <c r="B8" s="2" t="s">
        <v>10</v>
      </c>
      <c r="C8" s="7">
        <v>1795.182</v>
      </c>
      <c r="D8" s="7">
        <v>1795</v>
      </c>
      <c r="E8" s="7">
        <v>1844.797</v>
      </c>
      <c r="F8" s="7">
        <f t="shared" si="1"/>
        <v>49.797000000000025</v>
      </c>
      <c r="G8" s="8" t="e">
        <f>'БДР(ОД)'!#REF!</f>
        <v>#REF!</v>
      </c>
      <c r="I8" s="21"/>
      <c r="J8" s="21"/>
      <c r="K8" s="21"/>
    </row>
    <row r="9" spans="1:11" x14ac:dyDescent="0.3">
      <c r="A9" s="4" t="s">
        <v>11</v>
      </c>
      <c r="B9" s="2" t="s">
        <v>12</v>
      </c>
      <c r="C9" s="7">
        <v>106.907</v>
      </c>
      <c r="D9" s="7">
        <f>D57</f>
        <v>182</v>
      </c>
      <c r="E9" s="7">
        <v>133.83000000000001</v>
      </c>
      <c r="F9" s="7">
        <f t="shared" si="1"/>
        <v>-48.169999999999987</v>
      </c>
      <c r="G9" s="8">
        <f>G57</f>
        <v>221.202</v>
      </c>
      <c r="I9" s="21"/>
      <c r="J9" s="21"/>
      <c r="K9" s="21"/>
    </row>
    <row r="10" spans="1:11" customFormat="1" ht="14.4" x14ac:dyDescent="0.3">
      <c r="A10" s="2" t="s">
        <v>13</v>
      </c>
      <c r="B10" s="5" t="s">
        <v>14</v>
      </c>
      <c r="C10" s="8">
        <v>29.7</v>
      </c>
      <c r="D10" s="8">
        <v>0</v>
      </c>
      <c r="E10" s="8">
        <f>'БДР (ПД)'!E4</f>
        <v>15.565279999999998</v>
      </c>
      <c r="F10" s="7">
        <f t="shared" si="1"/>
        <v>15.565279999999998</v>
      </c>
      <c r="G10" s="8">
        <f>'БДР (ПД)'!F4</f>
        <v>10</v>
      </c>
      <c r="H10" s="1"/>
    </row>
    <row r="11" spans="1:11" customFormat="1" ht="14.4" x14ac:dyDescent="0.3">
      <c r="A11" s="2" t="s">
        <v>15</v>
      </c>
      <c r="B11" s="5" t="s">
        <v>137</v>
      </c>
      <c r="C11" s="8" t="e">
        <f>#REF!+C17</f>
        <v>#REF!</v>
      </c>
      <c r="D11" s="8">
        <f>'БДР (ПД)'!D6</f>
        <v>209.39999999999998</v>
      </c>
      <c r="E11" s="8">
        <f>'БДР (ПД)'!E6</f>
        <v>453</v>
      </c>
      <c r="F11" s="7">
        <f t="shared" si="1"/>
        <v>243.60000000000002</v>
      </c>
      <c r="G11" s="8">
        <f>'БДР (ПД)'!F6</f>
        <v>459</v>
      </c>
      <c r="H11" s="1"/>
    </row>
    <row r="12" spans="1:11" customFormat="1" ht="14.4" x14ac:dyDescent="0.3">
      <c r="A12" s="26"/>
      <c r="B12" s="2" t="s">
        <v>138</v>
      </c>
      <c r="C12" s="8">
        <v>432.483</v>
      </c>
      <c r="D12" s="8">
        <v>450</v>
      </c>
      <c r="E12" s="8">
        <v>453</v>
      </c>
      <c r="F12" s="7">
        <f t="shared" si="1"/>
        <v>3</v>
      </c>
      <c r="G12" s="8">
        <f>750*51*12/1000</f>
        <v>459</v>
      </c>
    </row>
    <row r="13" spans="1:11" customFormat="1" ht="14.4" x14ac:dyDescent="0.3">
      <c r="A13" s="2"/>
      <c r="B13" s="2" t="s">
        <v>139</v>
      </c>
      <c r="C13" s="8"/>
      <c r="D13" s="8">
        <v>180.25</v>
      </c>
      <c r="E13" s="8">
        <v>126.6</v>
      </c>
      <c r="F13" s="7">
        <f t="shared" si="1"/>
        <v>-53.650000000000006</v>
      </c>
      <c r="G13" s="8">
        <f>0.2*80*12</f>
        <v>192</v>
      </c>
    </row>
    <row r="14" spans="1:11" customFormat="1" ht="14.4" x14ac:dyDescent="0.3">
      <c r="A14" s="2"/>
      <c r="B14" s="25" t="s">
        <v>140</v>
      </c>
      <c r="C14" s="8"/>
      <c r="D14" s="8">
        <v>170</v>
      </c>
      <c r="E14" s="8">
        <v>163.58799999999999</v>
      </c>
      <c r="F14" s="7">
        <f t="shared" si="1"/>
        <v>-6.4120000000000061</v>
      </c>
      <c r="G14" s="8">
        <v>164</v>
      </c>
    </row>
    <row r="15" spans="1:11" customFormat="1" ht="15.6" x14ac:dyDescent="0.3">
      <c r="A15" s="2">
        <v>2</v>
      </c>
      <c r="B15" s="20" t="s">
        <v>98</v>
      </c>
      <c r="C15" s="24"/>
      <c r="D15" s="24" t="e">
        <f>D16+D62</f>
        <v>#REF!</v>
      </c>
      <c r="E15" s="24" t="e">
        <f>E16+E62</f>
        <v>#REF!</v>
      </c>
      <c r="F15" s="29" t="e">
        <f t="shared" ref="F15" si="2">F16+F62</f>
        <v>#REF!</v>
      </c>
      <c r="G15" s="24" t="e">
        <f>G16+G62</f>
        <v>#REF!</v>
      </c>
      <c r="H15" s="1"/>
    </row>
    <row r="16" spans="1:11" customFormat="1" ht="15.6" x14ac:dyDescent="0.3">
      <c r="A16" s="27">
        <v>2.1</v>
      </c>
      <c r="B16" s="5" t="s">
        <v>130</v>
      </c>
      <c r="C16" s="11"/>
      <c r="D16" s="11" t="e">
        <f>'БДР(ОД)'!#REF!</f>
        <v>#REF!</v>
      </c>
      <c r="E16" s="11" t="e">
        <f>'БДР(ОД)'!#REF!</f>
        <v>#REF!</v>
      </c>
      <c r="F16" s="7" t="e">
        <f t="shared" si="1"/>
        <v>#REF!</v>
      </c>
      <c r="G16" s="11" t="e">
        <f>'БДР(ОД)'!#REF!</f>
        <v>#REF!</v>
      </c>
    </row>
    <row r="17" spans="1:10" ht="15.75" hidden="1" customHeight="1" x14ac:dyDescent="0.3">
      <c r="A17" s="26" t="s">
        <v>20</v>
      </c>
      <c r="B17" s="5" t="s">
        <v>21</v>
      </c>
      <c r="C17" s="11">
        <f>C18+C19</f>
        <v>138.32</v>
      </c>
      <c r="D17" s="11">
        <f>D18+D19</f>
        <v>188.2</v>
      </c>
      <c r="E17" s="11">
        <v>181</v>
      </c>
      <c r="F17" s="7">
        <f t="shared" si="1"/>
        <v>-7.1999999999999886</v>
      </c>
      <c r="G17" s="11">
        <v>199</v>
      </c>
      <c r="I17" s="21"/>
      <c r="J17" s="21"/>
    </row>
    <row r="18" spans="1:10" ht="12.75" hidden="1" customHeight="1" x14ac:dyDescent="0.3">
      <c r="A18" s="26" t="s">
        <v>22</v>
      </c>
      <c r="B18" s="2" t="s">
        <v>23</v>
      </c>
      <c r="C18" s="8">
        <v>134.22</v>
      </c>
      <c r="D18" s="8">
        <f>14.85*12+2</f>
        <v>180.2</v>
      </c>
      <c r="E18" s="8">
        <f>28.83727+7.425+15.345*3+14.85+15.345*4+16.85+14.85</f>
        <v>190.22726999999998</v>
      </c>
      <c r="F18" s="7">
        <f t="shared" si="1"/>
        <v>10.027269999999987</v>
      </c>
      <c r="G18" s="8"/>
    </row>
    <row r="19" spans="1:10" ht="12.75" hidden="1" customHeight="1" x14ac:dyDescent="0.3">
      <c r="A19" s="26" t="s">
        <v>24</v>
      </c>
      <c r="B19" s="2" t="s">
        <v>25</v>
      </c>
      <c r="C19" s="8">
        <v>4.0999999999999996</v>
      </c>
      <c r="D19" s="8">
        <v>8</v>
      </c>
      <c r="E19" s="8">
        <f>2.2</f>
        <v>2.2000000000000002</v>
      </c>
      <c r="F19" s="7">
        <f t="shared" si="1"/>
        <v>-5.8</v>
      </c>
      <c r="G19" s="8"/>
    </row>
    <row r="20" spans="1:10" hidden="1" x14ac:dyDescent="0.3">
      <c r="A20" s="26" t="s">
        <v>26</v>
      </c>
      <c r="B20" s="5" t="s">
        <v>27</v>
      </c>
      <c r="C20" s="11">
        <f>SUM(C21:C33)</f>
        <v>606.60699999999997</v>
      </c>
      <c r="D20" s="11">
        <f t="shared" ref="D20:G20" si="3">SUM(D21:D33)</f>
        <v>562.5</v>
      </c>
      <c r="E20" s="11">
        <f>SUM(E21:E33)</f>
        <v>298.26809000000003</v>
      </c>
      <c r="F20" s="7">
        <f t="shared" si="1"/>
        <v>-264.23190999999997</v>
      </c>
      <c r="G20" s="11">
        <f t="shared" si="3"/>
        <v>515</v>
      </c>
    </row>
    <row r="21" spans="1:10" hidden="1" x14ac:dyDescent="0.3">
      <c r="A21" s="26" t="s">
        <v>28</v>
      </c>
      <c r="B21" s="2" t="s">
        <v>29</v>
      </c>
      <c r="C21" s="8"/>
      <c r="D21" s="8">
        <v>71</v>
      </c>
      <c r="E21" s="8">
        <v>71.286299999999997</v>
      </c>
      <c r="F21" s="7">
        <f t="shared" si="1"/>
        <v>0.28629999999999711</v>
      </c>
      <c r="G21" s="8"/>
    </row>
    <row r="22" spans="1:10" hidden="1" x14ac:dyDescent="0.3">
      <c r="A22" s="26" t="s">
        <v>30</v>
      </c>
      <c r="B22" s="2" t="s">
        <v>95</v>
      </c>
      <c r="C22" s="8">
        <v>7.6550000000000002</v>
      </c>
      <c r="D22" s="8">
        <v>1.5</v>
      </c>
      <c r="E22" s="8"/>
      <c r="F22" s="7">
        <f t="shared" si="1"/>
        <v>-1.5</v>
      </c>
      <c r="G22" s="8">
        <v>16</v>
      </c>
    </row>
    <row r="23" spans="1:10" ht="12.75" hidden="1" customHeight="1" x14ac:dyDescent="0.3">
      <c r="A23" s="26" t="s">
        <v>31</v>
      </c>
      <c r="B23" s="2" t="s">
        <v>32</v>
      </c>
      <c r="C23" s="8"/>
      <c r="D23" s="8">
        <v>0</v>
      </c>
      <c r="E23" s="8"/>
      <c r="F23" s="7">
        <f t="shared" si="1"/>
        <v>0</v>
      </c>
      <c r="G23" s="8"/>
    </row>
    <row r="24" spans="1:10" hidden="1" x14ac:dyDescent="0.3">
      <c r="A24" s="26" t="s">
        <v>33</v>
      </c>
      <c r="B24" s="2" t="s">
        <v>34</v>
      </c>
      <c r="C24" s="8">
        <v>78</v>
      </c>
      <c r="D24" s="8">
        <v>52</v>
      </c>
      <c r="E24" s="8">
        <v>34.5</v>
      </c>
      <c r="F24" s="7">
        <f t="shared" si="1"/>
        <v>-17.5</v>
      </c>
      <c r="G24" s="8">
        <v>35</v>
      </c>
    </row>
    <row r="25" spans="1:10" hidden="1" x14ac:dyDescent="0.3">
      <c r="A25" s="26" t="s">
        <v>35</v>
      </c>
      <c r="B25" s="2" t="s">
        <v>96</v>
      </c>
      <c r="C25" s="8">
        <v>287.87200000000001</v>
      </c>
      <c r="D25" s="8">
        <v>300</v>
      </c>
      <c r="E25" s="8"/>
      <c r="F25" s="7">
        <f t="shared" si="1"/>
        <v>-300</v>
      </c>
      <c r="G25" s="8">
        <v>298</v>
      </c>
    </row>
    <row r="26" spans="1:10" hidden="1" x14ac:dyDescent="0.3">
      <c r="A26" s="26" t="s">
        <v>36</v>
      </c>
      <c r="B26" s="2" t="s">
        <v>37</v>
      </c>
      <c r="C26" s="8">
        <v>174.8</v>
      </c>
      <c r="D26" s="8"/>
      <c r="E26" s="8">
        <f>11.3</f>
        <v>11.3</v>
      </c>
      <c r="F26" s="7">
        <f t="shared" si="1"/>
        <v>11.3</v>
      </c>
      <c r="G26" s="8"/>
    </row>
    <row r="27" spans="1:10" hidden="1" x14ac:dyDescent="0.3">
      <c r="A27" s="26" t="s">
        <v>38</v>
      </c>
      <c r="B27" s="2" t="s">
        <v>39</v>
      </c>
      <c r="C27" s="8">
        <v>15</v>
      </c>
      <c r="D27" s="8"/>
      <c r="E27" s="8">
        <v>1.9450000000000001</v>
      </c>
      <c r="F27" s="7">
        <f t="shared" si="1"/>
        <v>1.9450000000000001</v>
      </c>
      <c r="G27" s="8"/>
    </row>
    <row r="28" spans="1:10" hidden="1" x14ac:dyDescent="0.3">
      <c r="A28" s="26" t="s">
        <v>40</v>
      </c>
      <c r="B28" s="2" t="s">
        <v>41</v>
      </c>
      <c r="C28" s="8"/>
      <c r="D28" s="8">
        <v>15</v>
      </c>
      <c r="E28" s="8">
        <f>10.35+2.034</f>
        <v>12.384</v>
      </c>
      <c r="F28" s="7">
        <f t="shared" si="1"/>
        <v>-2.6159999999999997</v>
      </c>
      <c r="G28" s="8">
        <v>40</v>
      </c>
    </row>
    <row r="29" spans="1:10" hidden="1" x14ac:dyDescent="0.3">
      <c r="A29" s="26" t="s">
        <v>42</v>
      </c>
      <c r="B29" s="2" t="s">
        <v>43</v>
      </c>
      <c r="C29" s="8"/>
      <c r="D29" s="8">
        <v>8</v>
      </c>
      <c r="E29" s="8">
        <f>2.899+0.9+4.03</f>
        <v>7.8290000000000006</v>
      </c>
      <c r="F29" s="7">
        <f t="shared" si="1"/>
        <v>-0.17099999999999937</v>
      </c>
      <c r="G29" s="8"/>
    </row>
    <row r="30" spans="1:10" hidden="1" x14ac:dyDescent="0.3">
      <c r="A30" s="26" t="s">
        <v>44</v>
      </c>
      <c r="B30" s="2" t="s">
        <v>116</v>
      </c>
      <c r="C30" s="8"/>
      <c r="D30" s="8">
        <v>100</v>
      </c>
      <c r="E30" s="8">
        <f>99.12124+17.8</f>
        <v>116.92124</v>
      </c>
      <c r="F30" s="7">
        <f t="shared" si="1"/>
        <v>16.921239999999997</v>
      </c>
      <c r="G30" s="8">
        <v>50</v>
      </c>
    </row>
    <row r="31" spans="1:10" hidden="1" x14ac:dyDescent="0.3">
      <c r="A31" s="26" t="s">
        <v>45</v>
      </c>
      <c r="B31" s="2" t="s">
        <v>125</v>
      </c>
      <c r="C31" s="8"/>
      <c r="D31" s="8"/>
      <c r="E31" s="8"/>
      <c r="F31" s="7">
        <f t="shared" si="1"/>
        <v>0</v>
      </c>
      <c r="G31" s="8">
        <v>76</v>
      </c>
    </row>
    <row r="32" spans="1:10" hidden="1" x14ac:dyDescent="0.3">
      <c r="A32" s="26" t="s">
        <v>113</v>
      </c>
      <c r="B32" s="2" t="s">
        <v>124</v>
      </c>
      <c r="C32" s="8">
        <f>2.4+1.5+19.68+6.6+11.1+2</f>
        <v>43.28</v>
      </c>
      <c r="D32" s="8">
        <v>15</v>
      </c>
      <c r="E32" s="8">
        <f>28.21895</f>
        <v>28.21895</v>
      </c>
      <c r="F32" s="7">
        <f t="shared" si="1"/>
        <v>13.21895</v>
      </c>
      <c r="G32" s="8"/>
    </row>
    <row r="33" spans="1:7" hidden="1" x14ac:dyDescent="0.3">
      <c r="A33" s="26"/>
      <c r="B33" s="2" t="s">
        <v>120</v>
      </c>
      <c r="C33" s="8"/>
      <c r="D33" s="8"/>
      <c r="E33" s="8">
        <f>1.954+4.03+5+2.8996</f>
        <v>13.883599999999999</v>
      </c>
      <c r="F33" s="7">
        <f t="shared" si="1"/>
        <v>13.883599999999999</v>
      </c>
      <c r="G33" s="8"/>
    </row>
    <row r="34" spans="1:7" hidden="1" x14ac:dyDescent="0.3">
      <c r="A34" s="26" t="s">
        <v>46</v>
      </c>
      <c r="B34" s="5" t="s">
        <v>47</v>
      </c>
      <c r="C34" s="11">
        <f>SUM(C35:C56)</f>
        <v>1701.0599999999997</v>
      </c>
      <c r="D34" s="11">
        <f>SUM(D35:D56)</f>
        <v>1990.15</v>
      </c>
      <c r="E34" s="11">
        <f>SUM(E35:E56)</f>
        <v>1954.3866700000001</v>
      </c>
      <c r="F34" s="7">
        <f t="shared" si="1"/>
        <v>-35.763329999999996</v>
      </c>
      <c r="G34" s="11" t="e">
        <f>SUM(G35:G56)</f>
        <v>#REF!</v>
      </c>
    </row>
    <row r="35" spans="1:7" hidden="1" x14ac:dyDescent="0.3">
      <c r="A35" s="26" t="s">
        <v>48</v>
      </c>
      <c r="B35" s="2" t="s">
        <v>49</v>
      </c>
      <c r="C35" s="8">
        <v>1030.9000000000001</v>
      </c>
      <c r="D35" s="8">
        <f>[1]ШР!F15/1000</f>
        <v>1167.25</v>
      </c>
      <c r="E35" s="8">
        <f>1065.099+28</f>
        <v>1093.0989999999999</v>
      </c>
      <c r="F35" s="7">
        <f t="shared" si="1"/>
        <v>-74.151000000000067</v>
      </c>
      <c r="G35" s="8" t="e">
        <f>#REF!/1000</f>
        <v>#REF!</v>
      </c>
    </row>
    <row r="36" spans="1:7" hidden="1" x14ac:dyDescent="0.3">
      <c r="A36" s="26" t="s">
        <v>50</v>
      </c>
      <c r="B36" s="2" t="s">
        <v>51</v>
      </c>
      <c r="C36" s="8">
        <v>206.1</v>
      </c>
      <c r="D36" s="8">
        <v>240</v>
      </c>
      <c r="E36" s="8">
        <f>232.5+14.50775</f>
        <v>247.00774999999999</v>
      </c>
      <c r="F36" s="7">
        <f t="shared" si="1"/>
        <v>7.0077499999999873</v>
      </c>
      <c r="G36" s="8">
        <f>E36</f>
        <v>247.00774999999999</v>
      </c>
    </row>
    <row r="37" spans="1:7" hidden="1" x14ac:dyDescent="0.3">
      <c r="A37" s="26" t="s">
        <v>52</v>
      </c>
      <c r="B37" s="2" t="s">
        <v>53</v>
      </c>
      <c r="C37" s="8">
        <v>14.4</v>
      </c>
      <c r="D37" s="8">
        <v>14.4</v>
      </c>
      <c r="E37" s="8">
        <f>1.2*12-0.3</f>
        <v>14.099999999999998</v>
      </c>
      <c r="F37" s="7">
        <f t="shared" si="1"/>
        <v>-0.30000000000000249</v>
      </c>
      <c r="G37" s="8">
        <f>E37</f>
        <v>14.099999999999998</v>
      </c>
    </row>
    <row r="38" spans="1:7" hidden="1" x14ac:dyDescent="0.3">
      <c r="A38" s="26" t="s">
        <v>55</v>
      </c>
      <c r="B38" s="2" t="s">
        <v>56</v>
      </c>
      <c r="C38" s="8"/>
      <c r="D38" s="8">
        <f>10*8</f>
        <v>80</v>
      </c>
      <c r="E38" s="8">
        <v>50</v>
      </c>
      <c r="F38" s="7">
        <f t="shared" si="1"/>
        <v>-30</v>
      </c>
      <c r="G38" s="8">
        <f>120+10</f>
        <v>130</v>
      </c>
    </row>
    <row r="39" spans="1:7" hidden="1" x14ac:dyDescent="0.3">
      <c r="A39" s="26"/>
      <c r="B39" s="2" t="s">
        <v>89</v>
      </c>
      <c r="C39" s="8"/>
      <c r="D39" s="8"/>
      <c r="E39" s="8">
        <f>12+2.94</f>
        <v>14.94</v>
      </c>
      <c r="F39" s="7">
        <f t="shared" si="1"/>
        <v>14.94</v>
      </c>
      <c r="G39" s="8"/>
    </row>
    <row r="40" spans="1:7" hidden="1" x14ac:dyDescent="0.3">
      <c r="A40" s="26" t="s">
        <v>57</v>
      </c>
      <c r="B40" s="2" t="s">
        <v>58</v>
      </c>
      <c r="C40" s="8"/>
      <c r="D40" s="8">
        <v>5</v>
      </c>
      <c r="E40" s="8">
        <f>7+1.6</f>
        <v>8.6</v>
      </c>
      <c r="F40" s="7">
        <f t="shared" si="1"/>
        <v>3.5999999999999996</v>
      </c>
      <c r="G40" s="8">
        <v>2.5</v>
      </c>
    </row>
    <row r="41" spans="1:7" hidden="1" x14ac:dyDescent="0.3">
      <c r="A41" s="26" t="s">
        <v>59</v>
      </c>
      <c r="B41" s="2" t="s">
        <v>60</v>
      </c>
      <c r="C41" s="8">
        <v>36.5</v>
      </c>
      <c r="D41" s="8">
        <v>37</v>
      </c>
      <c r="E41" s="8">
        <v>30</v>
      </c>
      <c r="F41" s="7">
        <f t="shared" si="1"/>
        <v>-7</v>
      </c>
      <c r="G41" s="8">
        <f>E41</f>
        <v>30</v>
      </c>
    </row>
    <row r="42" spans="1:7" ht="27.6" hidden="1" x14ac:dyDescent="0.3">
      <c r="A42" s="26" t="s">
        <v>61</v>
      </c>
      <c r="B42" s="3" t="s">
        <v>62</v>
      </c>
      <c r="C42" s="13">
        <v>17.05</v>
      </c>
      <c r="D42" s="8">
        <v>30</v>
      </c>
      <c r="E42" s="8">
        <f>5.39+30.93+2.424+3.09</f>
        <v>41.834000000000003</v>
      </c>
      <c r="F42" s="7">
        <f t="shared" si="1"/>
        <v>11.834000000000003</v>
      </c>
      <c r="G42" s="8">
        <f>E42</f>
        <v>41.834000000000003</v>
      </c>
    </row>
    <row r="43" spans="1:7" hidden="1" x14ac:dyDescent="0.3">
      <c r="A43" s="26"/>
      <c r="B43" s="3" t="s">
        <v>115</v>
      </c>
      <c r="C43" s="13"/>
      <c r="D43" s="8"/>
      <c r="E43" s="8"/>
      <c r="F43" s="7">
        <f t="shared" si="1"/>
        <v>0</v>
      </c>
      <c r="G43" s="8">
        <v>40.299999999999997</v>
      </c>
    </row>
    <row r="44" spans="1:7" hidden="1" x14ac:dyDescent="0.3">
      <c r="A44" s="26"/>
      <c r="B44" s="3" t="s">
        <v>94</v>
      </c>
      <c r="C44" s="13"/>
      <c r="D44" s="8"/>
      <c r="E44" s="8"/>
      <c r="F44" s="7">
        <f t="shared" si="1"/>
        <v>0</v>
      </c>
      <c r="G44" s="8">
        <v>40</v>
      </c>
    </row>
    <row r="45" spans="1:7" hidden="1" x14ac:dyDescent="0.3">
      <c r="A45" s="26" t="s">
        <v>63</v>
      </c>
      <c r="B45" s="2" t="s">
        <v>64</v>
      </c>
      <c r="C45" s="8">
        <v>129.5</v>
      </c>
      <c r="D45" s="8">
        <v>130</v>
      </c>
      <c r="E45" s="8">
        <v>122.931</v>
      </c>
      <c r="F45" s="7">
        <f t="shared" si="1"/>
        <v>-7.0690000000000026</v>
      </c>
      <c r="G45" s="8">
        <v>120</v>
      </c>
    </row>
    <row r="46" spans="1:7" hidden="1" x14ac:dyDescent="0.3">
      <c r="A46" s="26"/>
      <c r="B46" s="2" t="s">
        <v>112</v>
      </c>
      <c r="C46" s="8"/>
      <c r="D46" s="8"/>
      <c r="E46" s="8"/>
      <c r="F46" s="7">
        <f t="shared" si="1"/>
        <v>0</v>
      </c>
      <c r="G46" s="8">
        <v>45</v>
      </c>
    </row>
    <row r="47" spans="1:7" hidden="1" x14ac:dyDescent="0.3">
      <c r="A47" s="26" t="s">
        <v>65</v>
      </c>
      <c r="B47" s="2" t="s">
        <v>66</v>
      </c>
      <c r="C47" s="8">
        <v>14.99</v>
      </c>
      <c r="D47" s="8">
        <v>15</v>
      </c>
      <c r="E47" s="12">
        <v>2.3884599999999998</v>
      </c>
      <c r="F47" s="7">
        <f t="shared" si="1"/>
        <v>-12.61154</v>
      </c>
      <c r="G47" s="8">
        <f>5</f>
        <v>5</v>
      </c>
    </row>
    <row r="48" spans="1:7" hidden="1" x14ac:dyDescent="0.3">
      <c r="A48" s="26" t="s">
        <v>67</v>
      </c>
      <c r="B48" s="2" t="s">
        <v>68</v>
      </c>
      <c r="C48" s="8">
        <v>68.599999999999994</v>
      </c>
      <c r="D48" s="8">
        <v>55</v>
      </c>
      <c r="E48" s="8">
        <v>113.7</v>
      </c>
      <c r="F48" s="7">
        <f t="shared" si="1"/>
        <v>58.7</v>
      </c>
      <c r="G48" s="8">
        <f>E48</f>
        <v>113.7</v>
      </c>
    </row>
    <row r="49" spans="1:8" hidden="1" x14ac:dyDescent="0.3">
      <c r="A49" s="26" t="s">
        <v>70</v>
      </c>
      <c r="B49" s="2" t="s">
        <v>123</v>
      </c>
      <c r="C49" s="8">
        <f>21.72+4.4</f>
        <v>26.119999999999997</v>
      </c>
      <c r="D49" s="8">
        <v>46</v>
      </c>
      <c r="E49" s="8">
        <f>0.94678+0.4+0.71622+0.982+26.263+3.9+2.8+0.88+0.45+0.9899+0.8112</f>
        <v>39.139099999999999</v>
      </c>
      <c r="F49" s="7">
        <f t="shared" si="1"/>
        <v>-6.8609000000000009</v>
      </c>
      <c r="G49" s="8">
        <v>20</v>
      </c>
    </row>
    <row r="50" spans="1:8" hidden="1" x14ac:dyDescent="0.3">
      <c r="A50" s="26" t="s">
        <v>71</v>
      </c>
      <c r="B50" s="2" t="s">
        <v>99</v>
      </c>
      <c r="C50" s="8">
        <v>6</v>
      </c>
      <c r="D50" s="8">
        <v>7</v>
      </c>
      <c r="E50" s="8">
        <f>2.961+0.669+2.941</f>
        <v>6.5709999999999997</v>
      </c>
      <c r="F50" s="7">
        <f t="shared" si="1"/>
        <v>-0.42900000000000027</v>
      </c>
      <c r="G50" s="8">
        <f>E50</f>
        <v>6.5709999999999997</v>
      </c>
    </row>
    <row r="51" spans="1:8" hidden="1" x14ac:dyDescent="0.3">
      <c r="A51" s="26" t="s">
        <v>72</v>
      </c>
      <c r="B51" s="2" t="s">
        <v>121</v>
      </c>
      <c r="C51" s="8">
        <v>3.3</v>
      </c>
      <c r="D51" s="8">
        <v>4</v>
      </c>
      <c r="E51" s="8">
        <f>3.337</f>
        <v>3.3370000000000002</v>
      </c>
      <c r="F51" s="7">
        <f t="shared" si="1"/>
        <v>-0.66299999999999981</v>
      </c>
      <c r="G51" s="8">
        <f>E51</f>
        <v>3.3370000000000002</v>
      </c>
    </row>
    <row r="52" spans="1:8" hidden="1" x14ac:dyDescent="0.3">
      <c r="A52" s="26" t="s">
        <v>73</v>
      </c>
      <c r="B52" s="2" t="s">
        <v>97</v>
      </c>
      <c r="C52" s="8">
        <f>3.6+0.7</f>
        <v>4.3</v>
      </c>
      <c r="D52" s="8">
        <v>7</v>
      </c>
      <c r="E52" s="8">
        <f>6+0.522+0.737+0.2</f>
        <v>7.4590000000000005</v>
      </c>
      <c r="F52" s="7">
        <f t="shared" si="1"/>
        <v>0.45900000000000052</v>
      </c>
      <c r="G52" s="8">
        <f>E52</f>
        <v>7.4590000000000005</v>
      </c>
    </row>
    <row r="53" spans="1:8" hidden="1" x14ac:dyDescent="0.3">
      <c r="A53" s="26" t="s">
        <v>74</v>
      </c>
      <c r="B53" s="2" t="s">
        <v>75</v>
      </c>
      <c r="C53" s="8">
        <v>29.8</v>
      </c>
      <c r="D53" s="8">
        <v>31.5</v>
      </c>
      <c r="E53" s="8">
        <v>31.644359999999999</v>
      </c>
      <c r="F53" s="7">
        <f t="shared" si="1"/>
        <v>0.14435999999999893</v>
      </c>
      <c r="G53" s="8">
        <v>35</v>
      </c>
    </row>
    <row r="54" spans="1:8" hidden="1" x14ac:dyDescent="0.3">
      <c r="A54" s="26"/>
      <c r="B54" s="2" t="s">
        <v>122</v>
      </c>
      <c r="C54" s="8"/>
      <c r="D54" s="8"/>
      <c r="E54" s="8">
        <v>4.4000000000000004</v>
      </c>
      <c r="F54" s="7">
        <f t="shared" si="1"/>
        <v>4.4000000000000004</v>
      </c>
      <c r="G54" s="8"/>
    </row>
    <row r="55" spans="1:8" hidden="1" x14ac:dyDescent="0.3">
      <c r="A55" s="26" t="s">
        <v>76</v>
      </c>
      <c r="B55" s="2" t="s">
        <v>77</v>
      </c>
      <c r="C55" s="8">
        <v>42.2</v>
      </c>
      <c r="D55" s="8">
        <v>51</v>
      </c>
      <c r="E55" s="8">
        <f>62.1-2.424-3.09</f>
        <v>56.585999999999999</v>
      </c>
      <c r="F55" s="7">
        <f t="shared" si="1"/>
        <v>5.5859999999999985</v>
      </c>
      <c r="G55" s="7">
        <v>57</v>
      </c>
      <c r="H55" s="9"/>
    </row>
    <row r="56" spans="1:8" customFormat="1" ht="14.4" hidden="1" x14ac:dyDescent="0.3">
      <c r="A56" s="26" t="s">
        <v>102</v>
      </c>
      <c r="B56" s="14" t="s">
        <v>114</v>
      </c>
      <c r="C56" s="8">
        <v>71.3</v>
      </c>
      <c r="D56" s="8">
        <v>70</v>
      </c>
      <c r="E56" s="8">
        <f>64.35+2.3</f>
        <v>66.649999999999991</v>
      </c>
      <c r="F56" s="7">
        <f t="shared" si="1"/>
        <v>-3.3500000000000085</v>
      </c>
      <c r="G56" s="8">
        <v>70</v>
      </c>
    </row>
    <row r="57" spans="1:8" hidden="1" x14ac:dyDescent="0.3">
      <c r="A57" s="26" t="s">
        <v>78</v>
      </c>
      <c r="B57" s="5" t="s">
        <v>79</v>
      </c>
      <c r="C57" s="11">
        <f>C58</f>
        <v>182</v>
      </c>
      <c r="D57" s="11">
        <f t="shared" ref="D57:G57" si="4">D58</f>
        <v>182</v>
      </c>
      <c r="E57" s="11">
        <f t="shared" si="4"/>
        <v>181.202</v>
      </c>
      <c r="F57" s="7">
        <f t="shared" si="1"/>
        <v>-0.79800000000000182</v>
      </c>
      <c r="G57" s="11">
        <f t="shared" si="4"/>
        <v>221.202</v>
      </c>
    </row>
    <row r="58" spans="1:8" hidden="1" x14ac:dyDescent="0.3">
      <c r="A58" s="26" t="s">
        <v>80</v>
      </c>
      <c r="B58" s="2" t="s">
        <v>81</v>
      </c>
      <c r="C58" s="8">
        <v>182</v>
      </c>
      <c r="D58" s="8">
        <v>182</v>
      </c>
      <c r="E58" s="8">
        <f>172.234+8.968</f>
        <v>181.202</v>
      </c>
      <c r="F58" s="7">
        <f t="shared" si="1"/>
        <v>-0.79800000000000182</v>
      </c>
      <c r="G58" s="11">
        <f>E58+2+38</f>
        <v>221.202</v>
      </c>
    </row>
    <row r="59" spans="1:8" customFormat="1" ht="14.4" x14ac:dyDescent="0.3">
      <c r="A59" s="26"/>
      <c r="B59" s="2" t="s">
        <v>141</v>
      </c>
      <c r="C59" s="8"/>
      <c r="D59" s="11" t="e">
        <f>'БДР(ОД)'!#REF!</f>
        <v>#REF!</v>
      </c>
      <c r="E59" s="11" t="e">
        <f>'БДР(ОД)'!#REF!</f>
        <v>#REF!</v>
      </c>
      <c r="F59" s="7" t="e">
        <f t="shared" si="1"/>
        <v>#REF!</v>
      </c>
      <c r="G59" s="11">
        <f>G60+G61</f>
        <v>28.715</v>
      </c>
    </row>
    <row r="60" spans="1:8" customFormat="1" ht="14.4" x14ac:dyDescent="0.3">
      <c r="A60" s="26"/>
      <c r="B60" s="14" t="s">
        <v>142</v>
      </c>
      <c r="C60" s="8"/>
      <c r="D60" s="8"/>
      <c r="E60" s="8">
        <f>3.5+8+8.3968+26+128.3+75</f>
        <v>249.1968</v>
      </c>
      <c r="F60" s="7">
        <f t="shared" si="1"/>
        <v>249.1968</v>
      </c>
      <c r="G60" s="8">
        <v>28.715</v>
      </c>
    </row>
    <row r="61" spans="1:8" customFormat="1" ht="14.4" x14ac:dyDescent="0.3">
      <c r="A61" s="26"/>
      <c r="B61" s="2" t="s">
        <v>143</v>
      </c>
      <c r="C61" s="8"/>
      <c r="D61" s="8"/>
      <c r="E61" s="8">
        <v>15.35</v>
      </c>
      <c r="F61" s="7">
        <f t="shared" si="1"/>
        <v>15.35</v>
      </c>
      <c r="G61" s="8"/>
    </row>
    <row r="62" spans="1:8" customFormat="1" ht="15.6" x14ac:dyDescent="0.3">
      <c r="A62" s="27">
        <v>2.2000000000000002</v>
      </c>
      <c r="B62" s="2" t="s">
        <v>144</v>
      </c>
      <c r="C62" s="24" t="e">
        <f>C63+C64+C65+C66+C67+C71+C72+C73+C74+#REF!</f>
        <v>#REF!</v>
      </c>
      <c r="D62" s="24">
        <f>SUM(D63:D78)</f>
        <v>765</v>
      </c>
      <c r="E62" s="24">
        <f>SUM(E63:E78)</f>
        <v>752.20594000000006</v>
      </c>
      <c r="F62" s="7">
        <f>E62-D62</f>
        <v>-12.794059999999945</v>
      </c>
      <c r="G62" s="24">
        <f>SUM(G63:G78)</f>
        <v>824.7</v>
      </c>
    </row>
    <row r="63" spans="1:8" customFormat="1" ht="14.4" x14ac:dyDescent="0.3">
      <c r="A63" s="10" t="s">
        <v>83</v>
      </c>
      <c r="B63" s="2" t="s">
        <v>109</v>
      </c>
      <c r="C63" s="8">
        <v>344.2</v>
      </c>
      <c r="D63" s="8">
        <v>380</v>
      </c>
      <c r="E63" s="8">
        <v>410.71874000000003</v>
      </c>
      <c r="F63" s="7">
        <f t="shared" si="1"/>
        <v>30.718740000000025</v>
      </c>
      <c r="G63" s="8">
        <f>30*13</f>
        <v>390</v>
      </c>
    </row>
    <row r="64" spans="1:8" customFormat="1" ht="14.4" x14ac:dyDescent="0.3">
      <c r="A64" s="10" t="s">
        <v>84</v>
      </c>
      <c r="B64" s="2" t="s">
        <v>110</v>
      </c>
      <c r="C64" s="8">
        <v>68.8</v>
      </c>
      <c r="D64" s="8">
        <v>70</v>
      </c>
      <c r="E64" s="8">
        <v>82.14</v>
      </c>
      <c r="F64" s="7">
        <f t="shared" si="1"/>
        <v>12.14</v>
      </c>
      <c r="G64" s="8">
        <f>G63*23/100</f>
        <v>89.7</v>
      </c>
    </row>
    <row r="65" spans="1:7" x14ac:dyDescent="0.3">
      <c r="A65" s="10" t="s">
        <v>100</v>
      </c>
      <c r="B65" s="2" t="s">
        <v>54</v>
      </c>
      <c r="C65" s="8">
        <v>42.04</v>
      </c>
      <c r="D65" s="8">
        <v>30</v>
      </c>
      <c r="E65" s="8">
        <v>51.243000000000002</v>
      </c>
      <c r="F65" s="7">
        <f t="shared" si="1"/>
        <v>21.243000000000002</v>
      </c>
      <c r="G65" s="8">
        <v>50</v>
      </c>
    </row>
    <row r="66" spans="1:7" customFormat="1" ht="14.4" x14ac:dyDescent="0.3">
      <c r="A66" s="10" t="s">
        <v>134</v>
      </c>
      <c r="B66" s="2" t="s">
        <v>150</v>
      </c>
      <c r="C66" s="8"/>
      <c r="D66" s="8"/>
      <c r="E66" s="8">
        <f>10.5+1.715</f>
        <v>12.215</v>
      </c>
      <c r="F66" s="7">
        <f t="shared" si="1"/>
        <v>12.215</v>
      </c>
      <c r="G66" s="8">
        <f>20+30</f>
        <v>50</v>
      </c>
    </row>
    <row r="67" spans="1:7" customFormat="1" ht="14.4" x14ac:dyDescent="0.3">
      <c r="A67" s="10" t="s">
        <v>101</v>
      </c>
      <c r="B67" s="2" t="s">
        <v>119</v>
      </c>
      <c r="C67" s="8">
        <v>25.14</v>
      </c>
      <c r="D67" s="8">
        <v>45</v>
      </c>
      <c r="E67" s="8">
        <f>10.67+6.04+37.107+2.37+3.192</f>
        <v>59.378999999999998</v>
      </c>
      <c r="F67" s="7">
        <f t="shared" si="1"/>
        <v>14.378999999999998</v>
      </c>
      <c r="G67" s="8">
        <v>15</v>
      </c>
    </row>
    <row r="68" spans="1:7" customFormat="1" ht="27.6" x14ac:dyDescent="0.3">
      <c r="A68" s="10" t="s">
        <v>102</v>
      </c>
      <c r="B68" s="3" t="s">
        <v>154</v>
      </c>
      <c r="C68" s="8"/>
      <c r="D68" s="8"/>
      <c r="E68" s="8"/>
      <c r="F68" s="7">
        <f t="shared" si="1"/>
        <v>0</v>
      </c>
      <c r="G68" s="8">
        <v>70</v>
      </c>
    </row>
    <row r="69" spans="1:7" customFormat="1" ht="14.4" x14ac:dyDescent="0.3">
      <c r="A69" s="10" t="s">
        <v>103</v>
      </c>
      <c r="B69" s="2" t="s">
        <v>117</v>
      </c>
      <c r="C69" s="8"/>
      <c r="D69" s="8"/>
      <c r="E69" s="8">
        <f>1.5*5</f>
        <v>7.5</v>
      </c>
      <c r="F69" s="7">
        <f t="shared" si="1"/>
        <v>7.5</v>
      </c>
      <c r="G69" s="8">
        <v>8</v>
      </c>
    </row>
    <row r="70" spans="1:7" customFormat="1" ht="14.4" x14ac:dyDescent="0.3">
      <c r="A70" s="10" t="s">
        <v>104</v>
      </c>
      <c r="B70" s="2" t="s">
        <v>118</v>
      </c>
      <c r="C70" s="8"/>
      <c r="D70" s="8"/>
      <c r="E70" s="8">
        <f>1.6*2+1.2+0.75*5</f>
        <v>8.15</v>
      </c>
      <c r="F70" s="7">
        <f t="shared" si="1"/>
        <v>8.15</v>
      </c>
      <c r="G70" s="8"/>
    </row>
    <row r="71" spans="1:7" customFormat="1" ht="14.4" x14ac:dyDescent="0.3">
      <c r="A71" s="10" t="s">
        <v>105</v>
      </c>
      <c r="B71" s="2" t="s">
        <v>85</v>
      </c>
      <c r="C71" s="8"/>
      <c r="D71" s="8">
        <v>70</v>
      </c>
      <c r="E71" s="8">
        <f>2.8+2.7+15.718+69.3365+4.5+11.947</f>
        <v>107.00150000000001</v>
      </c>
      <c r="F71" s="7">
        <f t="shared" si="1"/>
        <v>37.001500000000007</v>
      </c>
      <c r="G71" s="8">
        <v>5</v>
      </c>
    </row>
    <row r="72" spans="1:7" customFormat="1" ht="14.4" x14ac:dyDescent="0.3">
      <c r="A72" s="10" t="s">
        <v>106</v>
      </c>
      <c r="B72" s="2" t="s">
        <v>86</v>
      </c>
      <c r="C72" s="8"/>
      <c r="D72" s="8">
        <v>80</v>
      </c>
      <c r="E72" s="8">
        <v>0</v>
      </c>
      <c r="F72" s="7">
        <f t="shared" si="1"/>
        <v>-80</v>
      </c>
      <c r="G72" s="8">
        <v>0</v>
      </c>
    </row>
    <row r="73" spans="1:7" customFormat="1" ht="27.6" x14ac:dyDescent="0.3">
      <c r="A73" s="10" t="s">
        <v>135</v>
      </c>
      <c r="B73" s="3" t="s">
        <v>159</v>
      </c>
      <c r="C73" s="8"/>
      <c r="D73" s="8">
        <v>50</v>
      </c>
      <c r="E73" s="8"/>
      <c r="F73" s="7">
        <f t="shared" si="1"/>
        <v>-50</v>
      </c>
      <c r="G73" s="8">
        <v>32</v>
      </c>
    </row>
    <row r="74" spans="1:7" customFormat="1" ht="14.4" x14ac:dyDescent="0.3">
      <c r="A74" s="10" t="s">
        <v>136</v>
      </c>
      <c r="B74" s="2" t="s">
        <v>69</v>
      </c>
      <c r="C74" s="8">
        <v>31</v>
      </c>
      <c r="D74" s="8">
        <v>40</v>
      </c>
      <c r="E74" s="8">
        <f>9+4.8587</f>
        <v>13.858699999999999</v>
      </c>
      <c r="F74" s="7">
        <f t="shared" si="1"/>
        <v>-26.141300000000001</v>
      </c>
      <c r="G74" s="8">
        <v>40</v>
      </c>
    </row>
    <row r="75" spans="1:7" customFormat="1" ht="14.4" x14ac:dyDescent="0.3">
      <c r="A75" s="10" t="s">
        <v>147</v>
      </c>
      <c r="B75" s="2" t="s">
        <v>148</v>
      </c>
      <c r="C75" s="8"/>
      <c r="D75" s="8"/>
      <c r="E75" s="8"/>
      <c r="F75" s="7"/>
      <c r="G75" s="8">
        <v>10</v>
      </c>
    </row>
    <row r="76" spans="1:7" customFormat="1" ht="14.4" x14ac:dyDescent="0.3">
      <c r="A76" s="10" t="s">
        <v>149</v>
      </c>
      <c r="B76" s="2" t="s">
        <v>155</v>
      </c>
      <c r="C76" s="8"/>
      <c r="D76" s="8"/>
      <c r="E76" s="8"/>
      <c r="F76" s="7"/>
      <c r="G76" s="8">
        <v>25</v>
      </c>
    </row>
    <row r="77" spans="1:7" customFormat="1" ht="27.6" x14ac:dyDescent="0.3">
      <c r="A77" s="10" t="s">
        <v>157</v>
      </c>
      <c r="B77" s="3" t="s">
        <v>156</v>
      </c>
      <c r="C77" s="8"/>
      <c r="D77" s="8"/>
      <c r="E77" s="8"/>
      <c r="F77" s="8"/>
      <c r="G77" s="8">
        <v>25</v>
      </c>
    </row>
    <row r="78" spans="1:7" ht="27.6" x14ac:dyDescent="0.3">
      <c r="A78" s="10" t="s">
        <v>158</v>
      </c>
      <c r="B78" s="3" t="s">
        <v>153</v>
      </c>
      <c r="C78" s="8"/>
      <c r="D78" s="8"/>
      <c r="E78" s="8"/>
      <c r="F78" s="31"/>
      <c r="G78" s="8">
        <v>15</v>
      </c>
    </row>
    <row r="79" spans="1:7" x14ac:dyDescent="0.3">
      <c r="B79" s="1" t="s">
        <v>145</v>
      </c>
      <c r="D79" s="32" t="e">
        <f>D4-D15</f>
        <v>#REF!</v>
      </c>
      <c r="E79" s="32" t="e">
        <f>E4-E15</f>
        <v>#REF!</v>
      </c>
      <c r="F79" s="32"/>
      <c r="G79" s="32" t="e">
        <f>G4-G15</f>
        <v>#REF!</v>
      </c>
    </row>
  </sheetData>
  <mergeCells count="1">
    <mergeCell ref="B1:D1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Вместе</vt:lpstr>
      <vt:lpstr>БДР(ОД)</vt:lpstr>
      <vt:lpstr>БДР (ПД)</vt:lpstr>
      <vt:lpstr>Общий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2018-01-25T13:09:25Z</dcterms:modified>
</cp:coreProperties>
</file>