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1" activeTab="2"/>
  </bookViews>
  <sheets>
    <sheet name="Вместе" sheetId="12" state="hidden" r:id="rId1"/>
    <sheet name="БДР" sheetId="8" r:id="rId2"/>
    <sheet name="предприн деят" sheetId="4" r:id="rId3"/>
    <sheet name="Общий" sheetId="9" r:id="rId4"/>
    <sheet name=" ШР 16" sheetId="7" r:id="rId5"/>
    <sheet name="ШР 17" sheetId="11" r:id="rId6"/>
    <sheet name="тарифы" sheetId="10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I10" i="10" l="1"/>
  <c r="I11" i="10"/>
  <c r="I12" i="10"/>
  <c r="O6" i="8"/>
  <c r="O5" i="8"/>
  <c r="O4" i="8"/>
  <c r="I9" i="10"/>
  <c r="N8" i="8"/>
  <c r="G6" i="8"/>
  <c r="I19" i="10"/>
  <c r="I18" i="10"/>
  <c r="O7" i="8"/>
  <c r="H24" i="4"/>
  <c r="H25" i="4"/>
  <c r="G8" i="10" l="1"/>
  <c r="H8" i="10" s="1"/>
  <c r="G14" i="4"/>
  <c r="F14" i="4"/>
  <c r="E14" i="4"/>
  <c r="C9" i="4"/>
  <c r="D14" i="4"/>
  <c r="I10" i="4" l="1"/>
  <c r="G19" i="4"/>
  <c r="G11" i="4"/>
  <c r="M39" i="8"/>
  <c r="M38" i="8"/>
  <c r="M26" i="8"/>
  <c r="L3" i="8" l="1"/>
  <c r="M3" i="8"/>
  <c r="M6" i="8"/>
  <c r="G4" i="4" l="1"/>
  <c r="I11" i="4" l="1"/>
  <c r="M25" i="8" l="1"/>
  <c r="M47" i="8"/>
  <c r="M45" i="8"/>
  <c r="M53" i="8"/>
  <c r="M41" i="8"/>
  <c r="P50" i="8"/>
  <c r="Q50" i="8"/>
  <c r="M46" i="8"/>
  <c r="G10" i="4" l="1"/>
  <c r="H4" i="4" l="1"/>
  <c r="H8" i="4"/>
  <c r="H12" i="4"/>
  <c r="H14" i="4"/>
  <c r="H15" i="4"/>
  <c r="H16" i="4"/>
  <c r="H17" i="4"/>
  <c r="H18" i="4"/>
  <c r="H19" i="4"/>
  <c r="H20" i="4"/>
  <c r="H21" i="4"/>
  <c r="H22" i="4"/>
  <c r="M51" i="8"/>
  <c r="O14" i="8"/>
  <c r="O50" i="8"/>
  <c r="I19" i="4"/>
  <c r="I13" i="4"/>
  <c r="I16" i="4"/>
  <c r="I21" i="4"/>
  <c r="I7" i="4"/>
  <c r="I6" i="4"/>
  <c r="I4" i="4"/>
  <c r="I9" i="4" l="1"/>
  <c r="I5" i="4"/>
  <c r="I3" i="4" s="1"/>
  <c r="G5" i="4"/>
  <c r="M11" i="8"/>
  <c r="I25" i="4" l="1"/>
  <c r="G3" i="4"/>
  <c r="O52" i="8"/>
  <c r="O36" i="8"/>
  <c r="N34" i="12" l="1"/>
  <c r="H34" i="12"/>
  <c r="G34" i="12"/>
  <c r="E35" i="12"/>
  <c r="F35" i="12"/>
  <c r="G35" i="12"/>
  <c r="M35" i="12"/>
  <c r="N35" i="12" s="1"/>
  <c r="H10" i="12" l="1"/>
  <c r="I10" i="12"/>
  <c r="J10" i="12"/>
  <c r="K10" i="12"/>
  <c r="L10" i="12"/>
  <c r="L3" i="12" s="1"/>
  <c r="N10" i="12"/>
  <c r="O10" i="12"/>
  <c r="M12" i="12"/>
  <c r="M11" i="12"/>
  <c r="M10" i="12" s="1"/>
  <c r="G12" i="12"/>
  <c r="G11" i="12"/>
  <c r="G10" i="12" s="1"/>
  <c r="H12" i="12"/>
  <c r="H11" i="12"/>
  <c r="F12" i="12"/>
  <c r="F11" i="12"/>
  <c r="F10" i="12" s="1"/>
  <c r="E10" i="12"/>
  <c r="D10" i="12"/>
  <c r="C10" i="12"/>
  <c r="E9" i="12"/>
  <c r="C15" i="12"/>
  <c r="D16" i="12"/>
  <c r="D15" i="12" s="1"/>
  <c r="F15" i="12" s="1"/>
  <c r="E16" i="12"/>
  <c r="F16" i="12" s="1"/>
  <c r="E17" i="12"/>
  <c r="F17" i="12" s="1"/>
  <c r="D18" i="12"/>
  <c r="G18" i="12"/>
  <c r="F19" i="12"/>
  <c r="N59" i="12"/>
  <c r="F59" i="12"/>
  <c r="N58" i="12"/>
  <c r="E58" i="12"/>
  <c r="F58" i="12" s="1"/>
  <c r="M57" i="12"/>
  <c r="L57" i="12"/>
  <c r="K57" i="12"/>
  <c r="J57" i="12"/>
  <c r="I57" i="12"/>
  <c r="H57" i="12"/>
  <c r="G57" i="12"/>
  <c r="M56" i="12"/>
  <c r="M55" i="12" s="1"/>
  <c r="E56" i="12"/>
  <c r="G56" i="12" s="1"/>
  <c r="L55" i="12"/>
  <c r="K55" i="12"/>
  <c r="J55" i="12"/>
  <c r="I55" i="12"/>
  <c r="H55" i="12"/>
  <c r="D55" i="12"/>
  <c r="C55" i="12"/>
  <c r="N54" i="12"/>
  <c r="M54" i="12"/>
  <c r="E54" i="12"/>
  <c r="F54" i="12" s="1"/>
  <c r="N53" i="12"/>
  <c r="M53" i="12"/>
  <c r="E53" i="12"/>
  <c r="F53" i="12" s="1"/>
  <c r="N52" i="12"/>
  <c r="F52" i="12"/>
  <c r="N51" i="12"/>
  <c r="F51" i="12"/>
  <c r="M50" i="12"/>
  <c r="F50" i="12"/>
  <c r="E50" i="12"/>
  <c r="G50" i="12" s="1"/>
  <c r="N50" i="12" s="1"/>
  <c r="D50" i="12"/>
  <c r="C50" i="12"/>
  <c r="M49" i="12"/>
  <c r="E49" i="12"/>
  <c r="G49" i="12" s="1"/>
  <c r="N48" i="12"/>
  <c r="M48" i="12"/>
  <c r="E48" i="12"/>
  <c r="C48" i="12"/>
  <c r="N47" i="12"/>
  <c r="G47" i="12"/>
  <c r="F47" i="12"/>
  <c r="G46" i="12"/>
  <c r="N46" i="12" s="1"/>
  <c r="F46" i="12"/>
  <c r="N45" i="12"/>
  <c r="F45" i="12"/>
  <c r="N44" i="12"/>
  <c r="G44" i="12"/>
  <c r="F44" i="12"/>
  <c r="M43" i="12"/>
  <c r="N43" i="12" s="1"/>
  <c r="F43" i="12"/>
  <c r="N42" i="12"/>
  <c r="M42" i="12"/>
  <c r="F42" i="12"/>
  <c r="M41" i="12"/>
  <c r="N41" i="12" s="1"/>
  <c r="F41" i="12"/>
  <c r="E41" i="12"/>
  <c r="O40" i="12"/>
  <c r="M40" i="12"/>
  <c r="G40" i="12"/>
  <c r="F40" i="12"/>
  <c r="N39" i="12"/>
  <c r="E39" i="12"/>
  <c r="F39" i="12" s="1"/>
  <c r="N38" i="12"/>
  <c r="E38" i="12"/>
  <c r="F38" i="12" s="1"/>
  <c r="G37" i="12"/>
  <c r="N37" i="12" s="1"/>
  <c r="D37" i="12"/>
  <c r="F37" i="12" s="1"/>
  <c r="F36" i="12"/>
  <c r="E36" i="12"/>
  <c r="G36" i="12" s="1"/>
  <c r="O33" i="12"/>
  <c r="O35" i="12" s="1"/>
  <c r="M33" i="12"/>
  <c r="Q57" i="12" s="1"/>
  <c r="G33" i="12"/>
  <c r="E33" i="12"/>
  <c r="D33" i="12"/>
  <c r="L32" i="12"/>
  <c r="K32" i="12"/>
  <c r="J32" i="12"/>
  <c r="I32" i="12"/>
  <c r="H32" i="12"/>
  <c r="C32" i="12"/>
  <c r="N31" i="12"/>
  <c r="E31" i="12"/>
  <c r="F31" i="12" s="1"/>
  <c r="C31" i="12"/>
  <c r="C18" i="12" s="1"/>
  <c r="N30" i="12"/>
  <c r="F30" i="12"/>
  <c r="N29" i="12"/>
  <c r="E29" i="12"/>
  <c r="F29" i="12" s="1"/>
  <c r="N28" i="12"/>
  <c r="E28" i="12"/>
  <c r="F28" i="12" s="1"/>
  <c r="M27" i="12"/>
  <c r="N27" i="12" s="1"/>
  <c r="E27" i="12"/>
  <c r="F27" i="12" s="1"/>
  <c r="N26" i="12"/>
  <c r="F26" i="12"/>
  <c r="N25" i="12"/>
  <c r="F25" i="12"/>
  <c r="E25" i="12"/>
  <c r="N23" i="12"/>
  <c r="F23" i="12"/>
  <c r="N22" i="12"/>
  <c r="F22" i="12"/>
  <c r="N21" i="12"/>
  <c r="F21" i="12"/>
  <c r="N20" i="12"/>
  <c r="F20" i="12"/>
  <c r="N19" i="12"/>
  <c r="L18" i="12"/>
  <c r="K18" i="12"/>
  <c r="J18" i="12"/>
  <c r="I18" i="12"/>
  <c r="I14" i="12" s="1"/>
  <c r="H18" i="12"/>
  <c r="N17" i="12"/>
  <c r="N16" i="12"/>
  <c r="M15" i="12"/>
  <c r="N15" i="12" s="1"/>
  <c r="M8" i="12"/>
  <c r="M4" i="12" s="1"/>
  <c r="M3" i="12" s="1"/>
  <c r="F8" i="12"/>
  <c r="D8" i="12"/>
  <c r="M7" i="12"/>
  <c r="F7" i="12"/>
  <c r="M6" i="12"/>
  <c r="G6" i="12"/>
  <c r="H6" i="12" s="1"/>
  <c r="F6" i="12"/>
  <c r="N5" i="12"/>
  <c r="M5" i="12"/>
  <c r="H5" i="12"/>
  <c r="I5" i="12" s="1"/>
  <c r="L4" i="12"/>
  <c r="E4" i="12"/>
  <c r="C4" i="12"/>
  <c r="C47" i="8"/>
  <c r="D47" i="8"/>
  <c r="E47" i="8"/>
  <c r="G47" i="8" s="1"/>
  <c r="N47" i="8" s="1"/>
  <c r="N40" i="12" l="1"/>
  <c r="E18" i="12"/>
  <c r="F18" i="12" s="1"/>
  <c r="H14" i="12"/>
  <c r="L14" i="12"/>
  <c r="L60" i="12" s="1"/>
  <c r="F33" i="12"/>
  <c r="M32" i="12"/>
  <c r="K14" i="12"/>
  <c r="N57" i="12"/>
  <c r="E32" i="12"/>
  <c r="E14" i="12" s="1"/>
  <c r="J14" i="12"/>
  <c r="N6" i="12"/>
  <c r="N49" i="12"/>
  <c r="C14" i="12"/>
  <c r="C60" i="12" s="1"/>
  <c r="D32" i="12"/>
  <c r="D14" i="12" s="1"/>
  <c r="I6" i="12"/>
  <c r="N36" i="12"/>
  <c r="G32" i="12"/>
  <c r="G14" i="12" s="1"/>
  <c r="N56" i="12"/>
  <c r="G55" i="12"/>
  <c r="G8" i="12" s="1"/>
  <c r="H8" i="12" s="1"/>
  <c r="I8" i="12" s="1"/>
  <c r="J5" i="12"/>
  <c r="M18" i="12"/>
  <c r="O32" i="12"/>
  <c r="O14" i="12" s="1"/>
  <c r="F48" i="12"/>
  <c r="F49" i="12"/>
  <c r="F56" i="12"/>
  <c r="E57" i="12"/>
  <c r="F57" i="12" s="1"/>
  <c r="K5" i="12"/>
  <c r="E55" i="12"/>
  <c r="F55" i="12" s="1"/>
  <c r="N33" i="12"/>
  <c r="F47" i="8"/>
  <c r="N55" i="12" l="1"/>
  <c r="F32" i="12"/>
  <c r="F14" i="12" s="1"/>
  <c r="N32" i="12"/>
  <c r="D5" i="12"/>
  <c r="K8" i="12"/>
  <c r="J8" i="12"/>
  <c r="E60" i="12"/>
  <c r="K6" i="12"/>
  <c r="J6" i="12"/>
  <c r="N18" i="12"/>
  <c r="M14" i="12"/>
  <c r="N8" i="12"/>
  <c r="G7" i="12"/>
  <c r="H7" i="12" l="1"/>
  <c r="N7" i="12"/>
  <c r="G4" i="12"/>
  <c r="G3" i="12" s="1"/>
  <c r="N14" i="12"/>
  <c r="M60" i="12"/>
  <c r="D4" i="12"/>
  <c r="F5" i="12"/>
  <c r="G54" i="8"/>
  <c r="O31" i="8"/>
  <c r="M23" i="8"/>
  <c r="M14" i="8" s="1"/>
  <c r="M50" i="8"/>
  <c r="G23" i="4"/>
  <c r="H23" i="4" l="1"/>
  <c r="G9" i="4"/>
  <c r="G60" i="12"/>
  <c r="N4" i="12"/>
  <c r="N3" i="12" s="1"/>
  <c r="I7" i="12"/>
  <c r="H4" i="12"/>
  <c r="F4" i="12"/>
  <c r="D60" i="12"/>
  <c r="F60" i="12" s="1"/>
  <c r="N60" i="12"/>
  <c r="G25" i="4"/>
  <c r="M40" i="8"/>
  <c r="N40" i="8" s="1"/>
  <c r="O37" i="8"/>
  <c r="M52" i="8"/>
  <c r="N11" i="8"/>
  <c r="M37" i="8"/>
  <c r="H54" i="8"/>
  <c r="I54" i="8"/>
  <c r="J54" i="8"/>
  <c r="K54" i="8"/>
  <c r="L54" i="8"/>
  <c r="M54" i="8"/>
  <c r="H52" i="8"/>
  <c r="I52" i="8"/>
  <c r="J52" i="8"/>
  <c r="K52" i="8"/>
  <c r="L52" i="8"/>
  <c r="H30" i="8"/>
  <c r="I30" i="8"/>
  <c r="J30" i="8"/>
  <c r="K30" i="8"/>
  <c r="L30" i="8"/>
  <c r="H14" i="8"/>
  <c r="I14" i="8"/>
  <c r="J14" i="8"/>
  <c r="K14" i="8"/>
  <c r="L14" i="8"/>
  <c r="N50" i="8"/>
  <c r="N4" i="8"/>
  <c r="N12" i="8"/>
  <c r="N13" i="8"/>
  <c r="N15" i="8"/>
  <c r="N16" i="8"/>
  <c r="N18" i="8"/>
  <c r="N19" i="8"/>
  <c r="N21" i="8"/>
  <c r="N22" i="8"/>
  <c r="N23" i="8"/>
  <c r="N24" i="8"/>
  <c r="N25" i="8"/>
  <c r="N26" i="8"/>
  <c r="N27" i="8"/>
  <c r="N28" i="8"/>
  <c r="N35" i="8"/>
  <c r="N36" i="8"/>
  <c r="N38" i="8"/>
  <c r="N39" i="8"/>
  <c r="N42" i="8"/>
  <c r="N45" i="8"/>
  <c r="N48" i="8"/>
  <c r="N49" i="8"/>
  <c r="N51" i="8"/>
  <c r="N55" i="8"/>
  <c r="N56" i="8"/>
  <c r="H60" i="12" l="1"/>
  <c r="H3" i="12"/>
  <c r="K7" i="12"/>
  <c r="K4" i="12" s="1"/>
  <c r="J7" i="12"/>
  <c r="J4" i="12" s="1"/>
  <c r="I4" i="12"/>
  <c r="M30" i="8"/>
  <c r="M10" i="8" s="1"/>
  <c r="I10" i="8"/>
  <c r="L10" i="8"/>
  <c r="L57" i="8" s="1"/>
  <c r="H10" i="8"/>
  <c r="J10" i="8"/>
  <c r="K10" i="8"/>
  <c r="O32" i="8"/>
  <c r="O30" i="8" s="1"/>
  <c r="O10" i="8" s="1"/>
  <c r="G10" i="11"/>
  <c r="G8" i="11"/>
  <c r="H13" i="11"/>
  <c r="C14" i="11"/>
  <c r="C15" i="11" s="1"/>
  <c r="C13" i="11"/>
  <c r="G12" i="11"/>
  <c r="D12" i="11"/>
  <c r="C12" i="11"/>
  <c r="G11" i="11"/>
  <c r="G9" i="11"/>
  <c r="D11" i="11"/>
  <c r="C11" i="11"/>
  <c r="C10" i="11"/>
  <c r="H10" i="11" s="1"/>
  <c r="C9" i="11"/>
  <c r="C8" i="11"/>
  <c r="H8" i="11" s="1"/>
  <c r="C7" i="11"/>
  <c r="G6" i="11"/>
  <c r="G5" i="11"/>
  <c r="H5" i="11" s="1"/>
  <c r="D6" i="11"/>
  <c r="F6" i="11" s="1"/>
  <c r="C6" i="11"/>
  <c r="C5" i="11"/>
  <c r="F13" i="11"/>
  <c r="F12" i="11"/>
  <c r="D15" i="11"/>
  <c r="F11" i="11"/>
  <c r="F10" i="11"/>
  <c r="H9" i="11"/>
  <c r="E9" i="11"/>
  <c r="E15" i="11" s="1"/>
  <c r="F8" i="11"/>
  <c r="H7" i="11"/>
  <c r="G7" i="11"/>
  <c r="G15" i="11" s="1"/>
  <c r="F7" i="11"/>
  <c r="H6" i="11"/>
  <c r="F5" i="11"/>
  <c r="K60" i="12" l="1"/>
  <c r="K3" i="12"/>
  <c r="J60" i="12"/>
  <c r="J3" i="12"/>
  <c r="I60" i="12"/>
  <c r="I3" i="12"/>
  <c r="M57" i="8"/>
  <c r="H14" i="11"/>
  <c r="F14" i="11"/>
  <c r="H11" i="11"/>
  <c r="F9" i="11"/>
  <c r="F15" i="11"/>
  <c r="H12" i="11"/>
  <c r="D9" i="4"/>
  <c r="D62" i="9"/>
  <c r="G66" i="9"/>
  <c r="G63" i="9"/>
  <c r="G64" i="9" s="1"/>
  <c r="E74" i="9"/>
  <c r="E71" i="9"/>
  <c r="E70" i="9"/>
  <c r="F70" i="9" s="1"/>
  <c r="E69" i="9"/>
  <c r="F69" i="9" s="1"/>
  <c r="E67" i="9"/>
  <c r="E66" i="9"/>
  <c r="E62" i="9" s="1"/>
  <c r="F62" i="9" s="1"/>
  <c r="F63" i="9"/>
  <c r="F64" i="9"/>
  <c r="F65" i="9"/>
  <c r="F66" i="9"/>
  <c r="F67" i="9"/>
  <c r="F68" i="9"/>
  <c r="F71" i="9"/>
  <c r="F72" i="9"/>
  <c r="F73" i="9"/>
  <c r="F74" i="9"/>
  <c r="G41" i="8"/>
  <c r="N41" i="8" s="1"/>
  <c r="H15" i="11" l="1"/>
  <c r="G62" i="9"/>
  <c r="G11" i="7"/>
  <c r="G7" i="7"/>
  <c r="F13" i="4"/>
  <c r="H13" i="4" s="1"/>
  <c r="E8" i="10"/>
  <c r="F14" i="10"/>
  <c r="D8" i="10"/>
  <c r="F9" i="10"/>
  <c r="C8" i="10"/>
  <c r="H13" i="7" l="1"/>
  <c r="F10" i="4"/>
  <c r="H10" i="4" l="1"/>
  <c r="C62" i="9"/>
  <c r="F12" i="9"/>
  <c r="F13" i="9"/>
  <c r="F14" i="9"/>
  <c r="F21" i="9"/>
  <c r="F22" i="9"/>
  <c r="F23" i="9"/>
  <c r="F24" i="9"/>
  <c r="F25" i="9"/>
  <c r="F27" i="9"/>
  <c r="F31" i="9"/>
  <c r="F41" i="9"/>
  <c r="F43" i="9"/>
  <c r="F44" i="9"/>
  <c r="F45" i="9"/>
  <c r="F46" i="9"/>
  <c r="F47" i="9"/>
  <c r="F48" i="9"/>
  <c r="F53" i="9"/>
  <c r="F54" i="9"/>
  <c r="F61" i="9"/>
  <c r="G13" i="9"/>
  <c r="G12" i="9"/>
  <c r="E16" i="4" l="1"/>
  <c r="F11" i="4" l="1"/>
  <c r="F7" i="4"/>
  <c r="H7" i="4" s="1"/>
  <c r="D5" i="4"/>
  <c r="D59" i="9"/>
  <c r="E5" i="4"/>
  <c r="H11" i="4" l="1"/>
  <c r="F9" i="4"/>
  <c r="H9" i="4" s="1"/>
  <c r="E60" i="9"/>
  <c r="F60" i="9" s="1"/>
  <c r="E11" i="9"/>
  <c r="D11" i="9"/>
  <c r="F7" i="9"/>
  <c r="F8" i="9"/>
  <c r="E5" i="9"/>
  <c r="E3" i="8"/>
  <c r="E4" i="4"/>
  <c r="E10" i="9" s="1"/>
  <c r="F11" i="9" l="1"/>
  <c r="G10" i="9"/>
  <c r="F10" i="9"/>
  <c r="G59" i="9"/>
  <c r="E58" i="9"/>
  <c r="F58" i="9" s="1"/>
  <c r="D57" i="9"/>
  <c r="D9" i="9" s="1"/>
  <c r="F9" i="9" s="1"/>
  <c r="C57" i="9"/>
  <c r="E56" i="9"/>
  <c r="F56" i="9" s="1"/>
  <c r="E55" i="9"/>
  <c r="F55" i="9" s="1"/>
  <c r="E52" i="9"/>
  <c r="F52" i="9" s="1"/>
  <c r="C52" i="9"/>
  <c r="E51" i="9"/>
  <c r="F51" i="9" s="1"/>
  <c r="E50" i="9"/>
  <c r="F50" i="9" s="1"/>
  <c r="E49" i="9"/>
  <c r="F49" i="9" s="1"/>
  <c r="C49" i="9"/>
  <c r="C34" i="9" s="1"/>
  <c r="G48" i="9"/>
  <c r="G47" i="9"/>
  <c r="E42" i="9"/>
  <c r="F42" i="9" s="1"/>
  <c r="G41" i="9"/>
  <c r="E40" i="9"/>
  <c r="F40" i="9" s="1"/>
  <c r="E39" i="9"/>
  <c r="F39" i="9" s="1"/>
  <c r="G38" i="9"/>
  <c r="D38" i="9"/>
  <c r="F38" i="9" s="1"/>
  <c r="E37" i="9"/>
  <c r="F37" i="9" s="1"/>
  <c r="E36" i="9"/>
  <c r="F36" i="9" s="1"/>
  <c r="E35" i="9"/>
  <c r="D35" i="9"/>
  <c r="E33" i="9"/>
  <c r="F33" i="9" s="1"/>
  <c r="E32" i="9"/>
  <c r="F32" i="9" s="1"/>
  <c r="C32" i="9"/>
  <c r="C20" i="9" s="1"/>
  <c r="E30" i="9"/>
  <c r="F30" i="9" s="1"/>
  <c r="E29" i="9"/>
  <c r="F29" i="9" s="1"/>
  <c r="E28" i="9"/>
  <c r="F28" i="9" s="1"/>
  <c r="E26" i="9"/>
  <c r="F26" i="9" s="1"/>
  <c r="G20" i="9"/>
  <c r="D20" i="9"/>
  <c r="E19" i="9"/>
  <c r="F19" i="9" s="1"/>
  <c r="E18" i="9"/>
  <c r="D18" i="9"/>
  <c r="C17" i="9"/>
  <c r="C11" i="9" s="1"/>
  <c r="E4" i="9"/>
  <c r="C5" i="9"/>
  <c r="F5" i="8"/>
  <c r="F6" i="8"/>
  <c r="F15" i="8"/>
  <c r="F16" i="8"/>
  <c r="F17" i="8"/>
  <c r="F18" i="8"/>
  <c r="F19" i="8"/>
  <c r="F22" i="8"/>
  <c r="F26" i="8"/>
  <c r="F37" i="8"/>
  <c r="F39" i="8"/>
  <c r="F40" i="8"/>
  <c r="F41" i="8"/>
  <c r="F42" i="8"/>
  <c r="F43" i="8"/>
  <c r="F44" i="8"/>
  <c r="F48" i="8"/>
  <c r="F49" i="8"/>
  <c r="F56" i="8"/>
  <c r="E55" i="8"/>
  <c r="E54" i="8" s="1"/>
  <c r="E59" i="9" s="1"/>
  <c r="F59" i="9" s="1"/>
  <c r="N54" i="8"/>
  <c r="E53" i="8"/>
  <c r="G53" i="8" s="1"/>
  <c r="D52" i="8"/>
  <c r="D7" i="8" s="1"/>
  <c r="F7" i="8" s="1"/>
  <c r="C52" i="8"/>
  <c r="E51" i="8"/>
  <c r="F51" i="8" s="1"/>
  <c r="E50" i="8"/>
  <c r="F50" i="8" s="1"/>
  <c r="E46" i="8"/>
  <c r="G46" i="8" s="1"/>
  <c r="N46" i="8" s="1"/>
  <c r="E45" i="8"/>
  <c r="F45" i="8" s="1"/>
  <c r="C45" i="8"/>
  <c r="C30" i="8" s="1"/>
  <c r="G44" i="8"/>
  <c r="N44" i="8" s="1"/>
  <c r="G43" i="8"/>
  <c r="N43" i="8" s="1"/>
  <c r="E38" i="8"/>
  <c r="F38" i="8" s="1"/>
  <c r="G37" i="8"/>
  <c r="N37" i="8" s="1"/>
  <c r="E36" i="8"/>
  <c r="F36" i="8" s="1"/>
  <c r="E35" i="8"/>
  <c r="F35" i="8" s="1"/>
  <c r="G34" i="8"/>
  <c r="N34" i="8" s="1"/>
  <c r="D34" i="8"/>
  <c r="F34" i="8" s="1"/>
  <c r="E33" i="8"/>
  <c r="G33" i="8" s="1"/>
  <c r="N33" i="8" s="1"/>
  <c r="E32" i="8"/>
  <c r="G32" i="8" s="1"/>
  <c r="N32" i="8" s="1"/>
  <c r="E31" i="8"/>
  <c r="D31" i="8"/>
  <c r="D30" i="8" s="1"/>
  <c r="E28" i="8"/>
  <c r="F28" i="8" s="1"/>
  <c r="E27" i="8"/>
  <c r="F27" i="8" s="1"/>
  <c r="C27" i="8"/>
  <c r="C14" i="8" s="1"/>
  <c r="E25" i="8"/>
  <c r="F25" i="8" s="1"/>
  <c r="E24" i="8"/>
  <c r="F24" i="8" s="1"/>
  <c r="E23" i="8"/>
  <c r="F23" i="8" s="1"/>
  <c r="E21" i="8"/>
  <c r="F21" i="8" s="1"/>
  <c r="G14" i="8"/>
  <c r="D14" i="8"/>
  <c r="E13" i="8"/>
  <c r="F13" i="8" s="1"/>
  <c r="E12" i="8"/>
  <c r="D12" i="8"/>
  <c r="D11" i="8" s="1"/>
  <c r="C11" i="8"/>
  <c r="H4" i="8"/>
  <c r="C3" i="8"/>
  <c r="I4" i="8" l="1"/>
  <c r="F12" i="8"/>
  <c r="E14" i="8"/>
  <c r="F14" i="8" s="1"/>
  <c r="G52" i="8"/>
  <c r="N53" i="8"/>
  <c r="F53" i="8"/>
  <c r="F46" i="8"/>
  <c r="G5" i="8"/>
  <c r="N14" i="8"/>
  <c r="F11" i="8"/>
  <c r="D4" i="8"/>
  <c r="F4" i="8" s="1"/>
  <c r="F33" i="8"/>
  <c r="F55" i="8"/>
  <c r="F32" i="8"/>
  <c r="D10" i="8"/>
  <c r="D16" i="9" s="1"/>
  <c r="D15" i="9" s="1"/>
  <c r="F54" i="8"/>
  <c r="F31" i="8"/>
  <c r="F18" i="9"/>
  <c r="F35" i="9"/>
  <c r="G36" i="9"/>
  <c r="G42" i="9"/>
  <c r="G52" i="9"/>
  <c r="G58" i="9"/>
  <c r="G57" i="9" s="1"/>
  <c r="G9" i="9" s="1"/>
  <c r="E34" i="9"/>
  <c r="G37" i="9"/>
  <c r="G50" i="9"/>
  <c r="E57" i="9"/>
  <c r="F57" i="9" s="1"/>
  <c r="E20" i="9"/>
  <c r="F20" i="9" s="1"/>
  <c r="G51" i="9"/>
  <c r="D34" i="9"/>
  <c r="F34" i="9" s="1"/>
  <c r="D17" i="9"/>
  <c r="F17" i="9" s="1"/>
  <c r="C10" i="8"/>
  <c r="C57" i="8" s="1"/>
  <c r="E30" i="8"/>
  <c r="K4" i="8"/>
  <c r="J4" i="8"/>
  <c r="E52" i="8"/>
  <c r="F52" i="8" s="1"/>
  <c r="H12" i="7"/>
  <c r="H14" i="7"/>
  <c r="C15" i="7"/>
  <c r="H6" i="7"/>
  <c r="H7" i="7"/>
  <c r="H8" i="7"/>
  <c r="H9" i="7"/>
  <c r="H10" i="7"/>
  <c r="H11" i="7"/>
  <c r="H5" i="7"/>
  <c r="D15" i="7"/>
  <c r="G15" i="7"/>
  <c r="F14" i="7"/>
  <c r="F13" i="7"/>
  <c r="D12" i="7"/>
  <c r="F12" i="7" s="1"/>
  <c r="F11" i="7"/>
  <c r="F10" i="7"/>
  <c r="E9" i="7"/>
  <c r="F9" i="7" s="1"/>
  <c r="F8" i="7"/>
  <c r="F7" i="7"/>
  <c r="F6" i="7"/>
  <c r="F5" i="7"/>
  <c r="N5" i="8" l="1"/>
  <c r="D3" i="8"/>
  <c r="F3" i="8" s="1"/>
  <c r="H5" i="8"/>
  <c r="E10" i="8"/>
  <c r="E16" i="9" s="1"/>
  <c r="E15" i="9" s="1"/>
  <c r="E79" i="9" s="1"/>
  <c r="G7" i="9"/>
  <c r="F10" i="10"/>
  <c r="G7" i="8"/>
  <c r="N52" i="8"/>
  <c r="F30" i="8"/>
  <c r="F10" i="8" s="1"/>
  <c r="D57" i="8"/>
  <c r="F15" i="7"/>
  <c r="E15" i="7"/>
  <c r="D6" i="9"/>
  <c r="F6" i="9" s="1"/>
  <c r="H15" i="7"/>
  <c r="O3" i="8" l="1"/>
  <c r="H10" i="10"/>
  <c r="I5" i="8"/>
  <c r="J5" i="8"/>
  <c r="F16" i="9"/>
  <c r="E57" i="8"/>
  <c r="F57" i="8" s="1"/>
  <c r="N7" i="8"/>
  <c r="H7" i="8"/>
  <c r="I7" i="8" s="1"/>
  <c r="F12" i="10"/>
  <c r="G35" i="9"/>
  <c r="G34" i="9" s="1"/>
  <c r="G31" i="8"/>
  <c r="D5" i="9"/>
  <c r="D4" i="9" s="1"/>
  <c r="D79" i="9" s="1"/>
  <c r="K5" i="8" l="1"/>
  <c r="J7" i="8"/>
  <c r="K7" i="8"/>
  <c r="G30" i="8"/>
  <c r="N30" i="8" s="1"/>
  <c r="N31" i="8"/>
  <c r="F5" i="9"/>
  <c r="F4" i="9" s="1"/>
  <c r="E13" i="4"/>
  <c r="E9" i="4" s="1"/>
  <c r="F6" i="4"/>
  <c r="H6" i="4" s="1"/>
  <c r="E19" i="4"/>
  <c r="E3" i="4"/>
  <c r="D3" i="4"/>
  <c r="C5" i="4"/>
  <c r="C3" i="4" s="1"/>
  <c r="G3" i="8" l="1"/>
  <c r="G10" i="8"/>
  <c r="F15" i="10"/>
  <c r="F16" i="10" s="1"/>
  <c r="F5" i="4"/>
  <c r="C25" i="4"/>
  <c r="D25" i="4"/>
  <c r="E25" i="4"/>
  <c r="H5" i="4" l="1"/>
  <c r="G11" i="9"/>
  <c r="N6" i="8"/>
  <c r="N3" i="8" s="1"/>
  <c r="G8" i="9"/>
  <c r="G5" i="9" s="1"/>
  <c r="G16" i="9"/>
  <c r="G15" i="9" s="1"/>
  <c r="N10" i="8"/>
  <c r="F11" i="10"/>
  <c r="H6" i="8"/>
  <c r="H3" i="8" s="1"/>
  <c r="F3" i="4"/>
  <c r="F15" i="9"/>
  <c r="G4" i="9" l="1"/>
  <c r="H3" i="4"/>
  <c r="F25" i="4"/>
  <c r="G57" i="8"/>
  <c r="N57" i="8" s="1"/>
  <c r="G79" i="9"/>
  <c r="I6" i="8"/>
  <c r="I3" i="8" s="1"/>
  <c r="H57" i="8"/>
  <c r="H11" i="10" l="1"/>
  <c r="I57" i="8"/>
  <c r="J6" i="8"/>
  <c r="J3" i="8" s="1"/>
  <c r="K6" i="8"/>
  <c r="K3" i="8" s="1"/>
  <c r="K57" i="8" l="1"/>
  <c r="J57" i="8"/>
  <c r="O57" i="8"/>
  <c r="H12" i="10" l="1"/>
</calcChain>
</file>

<file path=xl/comments1.xml><?xml version="1.0" encoding="utf-8"?>
<comments xmlns="http://schemas.openxmlformats.org/spreadsheetml/2006/main">
  <authors>
    <author>Автор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конвектор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конвектор
</t>
        </r>
      </text>
    </comment>
  </commentList>
</comments>
</file>

<file path=xl/sharedStrings.xml><?xml version="1.0" encoding="utf-8"?>
<sst xmlns="http://schemas.openxmlformats.org/spreadsheetml/2006/main" count="508" uniqueCount="245">
  <si>
    <t>№</t>
  </si>
  <si>
    <t>Наименование</t>
  </si>
  <si>
    <t>Факт  за 2014</t>
  </si>
  <si>
    <t>1.1</t>
  </si>
  <si>
    <t>Выручка по коммунальным услугам</t>
  </si>
  <si>
    <t>1.1.1</t>
  </si>
  <si>
    <t>Выручка по вывозу ТБО</t>
  </si>
  <si>
    <t>1.1.2</t>
  </si>
  <si>
    <t>Выручка по текущему ремонту</t>
  </si>
  <si>
    <t>1.1.3</t>
  </si>
  <si>
    <t>Выручка по содержанию жилья</t>
  </si>
  <si>
    <t>1.1.4</t>
  </si>
  <si>
    <t>Выручка по содержанию лифтов</t>
  </si>
  <si>
    <t>1.2</t>
  </si>
  <si>
    <t>Выручка прочая(пени, отключение стояков)</t>
  </si>
  <si>
    <t>1.3</t>
  </si>
  <si>
    <t>ВЫРУЧКА  от предпринимательской деятельности</t>
  </si>
  <si>
    <t>1.4</t>
  </si>
  <si>
    <t>2</t>
  </si>
  <si>
    <t>РАСХОДЫ</t>
  </si>
  <si>
    <t>2.1</t>
  </si>
  <si>
    <t>ВЫВОЗ ТБО</t>
  </si>
  <si>
    <t>2.1.1</t>
  </si>
  <si>
    <t>Вывоз ТБО</t>
  </si>
  <si>
    <t>2.1.2</t>
  </si>
  <si>
    <t>Вывоз крупногабаритного мусора</t>
  </si>
  <si>
    <t>2.2</t>
  </si>
  <si>
    <t>ТЕКУЩИЙ РЕМОНТ</t>
  </si>
  <si>
    <t>2.2.1</t>
  </si>
  <si>
    <t>Герметизация ввода ( подъезд 1-й и 2-й второй)</t>
  </si>
  <si>
    <t>2.2.3</t>
  </si>
  <si>
    <t>2.2.4</t>
  </si>
  <si>
    <t>Лестница к Кропоткинскому магазину</t>
  </si>
  <si>
    <t>2.2.5</t>
  </si>
  <si>
    <t>Ремонт межпанельных швов</t>
  </si>
  <si>
    <t>2.2.6</t>
  </si>
  <si>
    <t>2.2.7</t>
  </si>
  <si>
    <t>Ремонт входных тамбуров в 4 подъездах</t>
  </si>
  <si>
    <t>2.2.8</t>
  </si>
  <si>
    <t>Установка кранов пожаротушения</t>
  </si>
  <si>
    <t>2.2.9</t>
  </si>
  <si>
    <t>Устройство перил лестничного марша, 1 и 4 подъезды</t>
  </si>
  <si>
    <t>2.2.10</t>
  </si>
  <si>
    <t>Ремонт кабин лифта</t>
  </si>
  <si>
    <t>2.2.11</t>
  </si>
  <si>
    <t>2.2.12</t>
  </si>
  <si>
    <t>2.3</t>
  </si>
  <si>
    <t>СОДЕРЖАНИЕ ЖИЛЬЯ</t>
  </si>
  <si>
    <t>2.3.1</t>
  </si>
  <si>
    <t>Заработная плата( с НДФЛ)</t>
  </si>
  <si>
    <t>2.3.2</t>
  </si>
  <si>
    <t>Страховые взносы с ФОТ</t>
  </si>
  <si>
    <t>2.3.3</t>
  </si>
  <si>
    <t>Компенсация на использование личного автотранспорта</t>
  </si>
  <si>
    <t>Налог УСН</t>
  </si>
  <si>
    <t>2.3.5</t>
  </si>
  <si>
    <t>Аварийно диспетчерская служба</t>
  </si>
  <si>
    <t>2.3.6</t>
  </si>
  <si>
    <t>Обязательная аттестация сотрудников</t>
  </si>
  <si>
    <t>2.3.7</t>
  </si>
  <si>
    <t>Тех. Обслуживание тех.узла системы теплоснабжения</t>
  </si>
  <si>
    <t>2.3.8</t>
  </si>
  <si>
    <t>Подготовка системы отопления к отопительному сезону(промывка, опрессовка требопровода)</t>
  </si>
  <si>
    <t>2.3.9</t>
  </si>
  <si>
    <t>Элетроэнергия МОП</t>
  </si>
  <si>
    <t>2.3.10</t>
  </si>
  <si>
    <t>МОП Горводоканал</t>
  </si>
  <si>
    <t>2.3.11</t>
  </si>
  <si>
    <t>Услуги НП ОРС</t>
  </si>
  <si>
    <t>Фонд председателя правления</t>
  </si>
  <si>
    <t>2.3.13</t>
  </si>
  <si>
    <t>2.3.14</t>
  </si>
  <si>
    <t>2.3.15</t>
  </si>
  <si>
    <t>2.3.16</t>
  </si>
  <si>
    <t>2.3.17</t>
  </si>
  <si>
    <t>Расходы на услуги банка</t>
  </si>
  <si>
    <t>2.3.19</t>
  </si>
  <si>
    <t>Материалы,хоз, элетро.</t>
  </si>
  <si>
    <t>2.4</t>
  </si>
  <si>
    <t>СОДЕРЖАНИЕ ЛИФТОВ</t>
  </si>
  <si>
    <t>2.4.1</t>
  </si>
  <si>
    <t>Тех. Обслуживанаие ЛДСС+тех осведетельствование-8тыс руб</t>
  </si>
  <si>
    <t>2.5</t>
  </si>
  <si>
    <t>2.5.1</t>
  </si>
  <si>
    <t>2.5.2</t>
  </si>
  <si>
    <t>Установка и содержание шлагбаума</t>
  </si>
  <si>
    <t xml:space="preserve">Ремонт подпорной стены </t>
  </si>
  <si>
    <t>Непредвиденные расходы</t>
  </si>
  <si>
    <t>Суд</t>
  </si>
  <si>
    <t>Восстановление тех документации дома</t>
  </si>
  <si>
    <t>План  2015</t>
  </si>
  <si>
    <t>Откло нение</t>
  </si>
  <si>
    <t>Факт  2015</t>
  </si>
  <si>
    <t>План на 2016</t>
  </si>
  <si>
    <t>Замер сопротивления изоляции дома</t>
  </si>
  <si>
    <t>Ограждение пешеходной  зоны, подъезд1, лестница</t>
  </si>
  <si>
    <t xml:space="preserve">Ремонт подъезд 1(за 2015г) </t>
  </si>
  <si>
    <t>Расходы на связь, почта</t>
  </si>
  <si>
    <t>ИТОГО РАСХОДЫ</t>
  </si>
  <si>
    <t>Канцелярские расходы</t>
  </si>
  <si>
    <t>2.5.3</t>
  </si>
  <si>
    <t>2.5.5</t>
  </si>
  <si>
    <t>2.5.6</t>
  </si>
  <si>
    <t>2.5.7</t>
  </si>
  <si>
    <t>2.5.8</t>
  </si>
  <si>
    <t>2.5.9</t>
  </si>
  <si>
    <t>2.5.10</t>
  </si>
  <si>
    <t>Выручка по  автопарковке</t>
  </si>
  <si>
    <t>Благоустройство территории</t>
  </si>
  <si>
    <t>Оплата труда контролеров</t>
  </si>
  <si>
    <t>Страховые взносы с ФОТ контролеров</t>
  </si>
  <si>
    <t>Юрист</t>
  </si>
  <si>
    <t>ОДН по ГВС и ХВС</t>
  </si>
  <si>
    <t>2.2.13</t>
  </si>
  <si>
    <t>Вывоз и уборка снега, чистка козырьков</t>
  </si>
  <si>
    <t>Промывка канализации сторонней организацией</t>
  </si>
  <si>
    <t>Ремонт крыши 2 подъезда,  отвод воды, 3 подъезда</t>
  </si>
  <si>
    <t>Вызов мастера по программированию брелков</t>
  </si>
  <si>
    <t>Брелки по воротам</t>
  </si>
  <si>
    <t xml:space="preserve">Содержание и ремонт автоматических ворот, видио </t>
  </si>
  <si>
    <t>Мелкий ремонт,двери, труба сливная</t>
  </si>
  <si>
    <t>Содержание сайта</t>
  </si>
  <si>
    <t>Расходы на регистрацию, нотариуса</t>
  </si>
  <si>
    <t>Обслуживание ПО, катридж, копии , обновление 1С</t>
  </si>
  <si>
    <t>Косметический  ремонт (11 этажи 2.3 подъезд)</t>
  </si>
  <si>
    <t>Должность</t>
  </si>
  <si>
    <t>оклад, в т.ч. районный коэф-т, с  01 по 03  мес</t>
  </si>
  <si>
    <t>оклад, в. т.ч. районный коэффициент</t>
  </si>
  <si>
    <t>доплаты</t>
  </si>
  <si>
    <t>замещение на время отпуска</t>
  </si>
  <si>
    <t>Итого за год</t>
  </si>
  <si>
    <t>примечание</t>
  </si>
  <si>
    <t>Председатель</t>
  </si>
  <si>
    <t>Управдом</t>
  </si>
  <si>
    <t>доплата при большом объеме качественно выполненной работы</t>
  </si>
  <si>
    <t>Бухгалтер</t>
  </si>
  <si>
    <t>Паспортист</t>
  </si>
  <si>
    <t>Электрик</t>
  </si>
  <si>
    <t>Сантехник</t>
  </si>
  <si>
    <t xml:space="preserve">Техничка </t>
  </si>
  <si>
    <t>доплата за мытье окон, генеральные уборки подъездов</t>
  </si>
  <si>
    <t>Дворник</t>
  </si>
  <si>
    <t>доплата с ноября по апрель</t>
  </si>
  <si>
    <t>Помощник дворника  во время больших снегопадов</t>
  </si>
  <si>
    <t>в зимнее время во время большого количества снега</t>
  </si>
  <si>
    <t>итого</t>
  </si>
  <si>
    <t>Отпускные\замещение</t>
  </si>
  <si>
    <t>За год</t>
  </si>
  <si>
    <t>Разнорабочий\подсобник</t>
  </si>
  <si>
    <t xml:space="preserve">Замер и дороботка сиситемы канализации стоков 4-х подъезд </t>
  </si>
  <si>
    <t>4-х</t>
  </si>
  <si>
    <t>тариф21,83</t>
  </si>
  <si>
    <t>ИТОГО ВЫРУЧКА</t>
  </si>
  <si>
    <t>Выручка прочая(пени, отключение стояков, антенна)</t>
  </si>
  <si>
    <t xml:space="preserve">Расходы по коммунальным услугам, в т.ч. </t>
  </si>
  <si>
    <t>Выручка от предпринимательской деят-ти</t>
  </si>
  <si>
    <t>1.5</t>
  </si>
  <si>
    <t>1.6</t>
  </si>
  <si>
    <t>2.5.4</t>
  </si>
  <si>
    <t>2.5.11</t>
  </si>
  <si>
    <t>2.5.12</t>
  </si>
  <si>
    <t>ВЫРУЧКА  от предпринимательской деятельности, в.т.ч.</t>
  </si>
  <si>
    <t xml:space="preserve">          Выручка по  автопарковке</t>
  </si>
  <si>
    <t xml:space="preserve">          Благоустройство территории</t>
  </si>
  <si>
    <t xml:space="preserve">          Выручка от предпринимательской деят-ти</t>
  </si>
  <si>
    <t xml:space="preserve">      Непредвиденные расходы, в т.ч.</t>
  </si>
  <si>
    <t xml:space="preserve">                                      Суд</t>
  </si>
  <si>
    <t xml:space="preserve">                                      Юрист</t>
  </si>
  <si>
    <t>Прочие расходы</t>
  </si>
  <si>
    <t>Финансовый результат</t>
  </si>
  <si>
    <t xml:space="preserve">Устройство перил </t>
  </si>
  <si>
    <t>наименование</t>
  </si>
  <si>
    <t>Тариф  общий</t>
  </si>
  <si>
    <t>Тариф по вывозу ТБО</t>
  </si>
  <si>
    <t>Тариф  по текущему ремонту</t>
  </si>
  <si>
    <t>Тариф  по содержанию жилья</t>
  </si>
  <si>
    <t>Тариф по содержанию лифтов</t>
  </si>
  <si>
    <t>с 01 апреля 2016</t>
  </si>
  <si>
    <t>январь-март 2015</t>
  </si>
  <si>
    <t>Тарифы  ТСЖ Кропоткина 261  на 2016г.</t>
  </si>
  <si>
    <t>2.5.13</t>
  </si>
  <si>
    <t>Озеленение территории дома</t>
  </si>
  <si>
    <t>2.5.14</t>
  </si>
  <si>
    <t>Хоз.нужды, эл/энегрия</t>
  </si>
  <si>
    <t>ПРОЧИЕ ДОХОДЫ</t>
  </si>
  <si>
    <t>ПРОЧИЕ РАСХОДЫ</t>
  </si>
  <si>
    <t>Изготовление и установки лестницы к Кропоткинскому универмагу</t>
  </si>
  <si>
    <t>Реконструкция места контролеров с установкой защитной системы  с видионаблюдением</t>
  </si>
  <si>
    <t>Ремонт освещения территории дома</t>
  </si>
  <si>
    <t xml:space="preserve">Снос тополей, ремонт  ограждения, тротуара на дорожке к лицею </t>
  </si>
  <si>
    <t>2.5.15</t>
  </si>
  <si>
    <t>2.5.16</t>
  </si>
  <si>
    <t>Ремонт асфальтового покрытия  устройства водостоков на придомовой территории</t>
  </si>
  <si>
    <t>2.3.12</t>
  </si>
  <si>
    <t>2.3.18</t>
  </si>
  <si>
    <t>2.3.20</t>
  </si>
  <si>
    <t>2.3.21</t>
  </si>
  <si>
    <t>2.3.22</t>
  </si>
  <si>
    <t>2.3.23</t>
  </si>
  <si>
    <t>2.3.24</t>
  </si>
  <si>
    <t>2.3.25</t>
  </si>
  <si>
    <t>СМЕТА  ПРОЧИХ ДОХОДОВ И РАСХОДОВ на 2016г ТСЖ Кропоткина 261</t>
  </si>
  <si>
    <t xml:space="preserve"> ОБЩАЯ СМЕТА ДОХОДОВ И РАСХОДОВ на 2016г ТСЖ Кропоткина 261</t>
  </si>
  <si>
    <t>СМЕТА ДОХОДОВ И РАСХОДОВ ТСЖ "КРОПОТКИНА 261"на   2017г                                       (жилищно-коммунальные услуги)</t>
  </si>
  <si>
    <t>Факт 2016</t>
  </si>
  <si>
    <t>План 2017</t>
  </si>
  <si>
    <t>ФОТ  ТСЖ Кропоткина261  с 01.02 2017г</t>
  </si>
  <si>
    <t>ФОТ  ТСЖ Кропоткина261  с 01.04 2016г</t>
  </si>
  <si>
    <t xml:space="preserve">Ремонт крыши, паребриков, плит. </t>
  </si>
  <si>
    <t>Материалы,хоз, элетротовары, наклейки</t>
  </si>
  <si>
    <t>Выручка по содержанию жилья,антенна</t>
  </si>
  <si>
    <t xml:space="preserve">Ремонт подъезд 2(Частично, итог в 2017) </t>
  </si>
  <si>
    <t>Обслуживание ПО, катридж, копии , обновление 1С, СБИС</t>
  </si>
  <si>
    <t>Содержание сайта, связь, почта</t>
  </si>
  <si>
    <t>ДОХОДЫ ИТОГО</t>
  </si>
  <si>
    <t xml:space="preserve">Ремонт подъезд 2(Частично, окончание в 2017) </t>
  </si>
  <si>
    <t>Ремонт асфальтового покрытия  устройства водостоков на придомовой территории дорожка</t>
  </si>
  <si>
    <t>Изготовление и монтаж окон, решеток в подвалы</t>
  </si>
  <si>
    <t xml:space="preserve">Установка и содержание шлагбаума и автомат ворот </t>
  </si>
  <si>
    <t>НЕТ 12</t>
  </si>
  <si>
    <t>БЫЛО ЕЩЕ 1913</t>
  </si>
  <si>
    <t>12 ПРЕДВАРИТ</t>
  </si>
  <si>
    <t>ХОЗ</t>
  </si>
  <si>
    <t>ЭЛЕКТ</t>
  </si>
  <si>
    <t>Ремонт снегоуборочной машины</t>
  </si>
  <si>
    <t>наклейки</t>
  </si>
  <si>
    <t>Связь, почта</t>
  </si>
  <si>
    <t>Обслуживание ПО, катридж, копии , обновление 1С, СБИС,сайт</t>
  </si>
  <si>
    <t>прибывила ремонт кв</t>
  </si>
  <si>
    <t>Входные группы ремонт, Установка кранов пожаротушения</t>
  </si>
  <si>
    <t>плюс отпуск и премия</t>
  </si>
  <si>
    <t>нет *1,04</t>
  </si>
  <si>
    <t>информацию</t>
  </si>
  <si>
    <t>с 01 февраля 2017</t>
  </si>
  <si>
    <t>%</t>
  </si>
  <si>
    <t xml:space="preserve">Содержание и ремонт автоматических ворот, шлагбаума,видио </t>
  </si>
  <si>
    <t>Тех. Обслуживание тех.узла системы теплоснабжения по догоаору</t>
  </si>
  <si>
    <t>Выручка за пользование кол.антеной</t>
  </si>
  <si>
    <t>1.1.5</t>
  </si>
  <si>
    <t>Общая сумма</t>
  </si>
  <si>
    <t>Антенна</t>
  </si>
  <si>
    <t>ОДН по ХВС</t>
  </si>
  <si>
    <t>ОДН по ГВС</t>
  </si>
  <si>
    <t>Забор вокруг автопарковки</t>
  </si>
  <si>
    <t>Аварийная Подпорная стена у ТЦ Кропоткинский, ограждение территрии дома со стороны стоянки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</si>
</sst>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1" fillId="2" borderId="0" xfId="0" applyNumberFormat="1" applyFont="1" applyFill="1" applyBorder="1"/>
    <xf numFmtId="49" fontId="1" fillId="0" borderId="1" xfId="0" applyNumberFormat="1" applyFont="1" applyBorder="1"/>
    <xf numFmtId="0" fontId="3" fillId="0" borderId="1" xfId="0" applyFont="1" applyBorder="1"/>
    <xf numFmtId="3" fontId="2" fillId="2" borderId="1" xfId="0" applyNumberFormat="1" applyFont="1" applyFill="1" applyBorder="1"/>
    <xf numFmtId="3" fontId="1" fillId="3" borderId="1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2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2" fillId="0" borderId="0" xfId="0" applyNumberFormat="1" applyFont="1"/>
    <xf numFmtId="0" fontId="7" fillId="0" borderId="1" xfId="0" applyFont="1" applyBorder="1"/>
    <xf numFmtId="2" fontId="1" fillId="0" borderId="0" xfId="0" applyNumberFormat="1" applyFont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2" borderId="1" xfId="0" applyNumberFormat="1" applyFont="1" applyFill="1" applyBorder="1"/>
    <xf numFmtId="0" fontId="1" fillId="0" borderId="0" xfId="0" applyFont="1" applyBorder="1"/>
    <xf numFmtId="0" fontId="8" fillId="0" borderId="1" xfId="0" applyFont="1" applyBorder="1"/>
    <xf numFmtId="0" fontId="8" fillId="0" borderId="0" xfId="0" applyFont="1"/>
    <xf numFmtId="0" fontId="7" fillId="0" borderId="0" xfId="0" applyFont="1"/>
    <xf numFmtId="2" fontId="1" fillId="0" borderId="1" xfId="0" applyNumberFormat="1" applyFont="1" applyBorder="1"/>
    <xf numFmtId="0" fontId="8" fillId="0" borderId="0" xfId="0" applyFont="1" applyAlignment="1">
      <alignment horizontal="left"/>
    </xf>
    <xf numFmtId="3" fontId="8" fillId="0" borderId="1" xfId="0" applyNumberFormat="1" applyFont="1" applyBorder="1" applyAlignment="1">
      <alignment wrapText="1"/>
    </xf>
    <xf numFmtId="3" fontId="8" fillId="2" borderId="1" xfId="0" applyNumberFormat="1" applyFont="1" applyFill="1" applyBorder="1"/>
    <xf numFmtId="0" fontId="2" fillId="2" borderId="1" xfId="0" applyFont="1" applyFill="1" applyBorder="1"/>
    <xf numFmtId="4" fontId="8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/>
    <xf numFmtId="3" fontId="1" fillId="0" borderId="0" xfId="0" applyNumberFormat="1" applyFont="1"/>
    <xf numFmtId="0" fontId="2" fillId="0" borderId="1" xfId="0" applyFont="1" applyBorder="1" applyAlignment="1">
      <alignment wrapText="1"/>
    </xf>
    <xf numFmtId="3" fontId="0" fillId="0" borderId="0" xfId="0" applyNumberFormat="1"/>
    <xf numFmtId="2" fontId="2" fillId="0" borderId="0" xfId="0" applyNumberFormat="1" applyFont="1"/>
    <xf numFmtId="0" fontId="2" fillId="0" borderId="0" xfId="0" applyFont="1"/>
    <xf numFmtId="3" fontId="7" fillId="0" borderId="1" xfId="0" applyNumberFormat="1" applyFont="1" applyBorder="1"/>
    <xf numFmtId="3" fontId="6" fillId="0" borderId="1" xfId="0" applyNumberFormat="1" applyFont="1" applyBorder="1"/>
    <xf numFmtId="0" fontId="0" fillId="2" borderId="0" xfId="0" applyFill="1"/>
    <xf numFmtId="3" fontId="6" fillId="2" borderId="1" xfId="0" applyNumberFormat="1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4" fontId="0" fillId="0" borderId="1" xfId="0" applyNumberFormat="1" applyBorder="1"/>
    <xf numFmtId="0" fontId="8" fillId="0" borderId="1" xfId="0" applyFont="1" applyFill="1" applyBorder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6;&#1054;&#1055;&#1054;&#1058;&#1050;&#1048;&#1053;&#1040;\1%20&#1058;&#1057;&#1046;\&#1043;&#1086;&#1083;&#1086;&#1089;&#1086;&#1074;&#1072;&#1085;&#1080;&#1077;%202015&#1075;\&#1055;&#1040;&#1050;&#1045;&#1058;%20&#1085;&#1072;%20&#1075;&#1086;&#1083;&#1086;&#1089;&#1086;&#1074;&#1072;&#1085;&#1080;&#1077;%2006.04.2015\&#1055;&#1083;&#1072;&#1085;%20&#1088;&#1072;&#1073;&#1086;&#1090;&#1099;%202015%2001.04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Общая форма 2"/>
      <sheetName val="Смета"/>
      <sheetName val="факт 2015"/>
      <sheetName val="ШР"/>
      <sheetName val="тарифы"/>
      <sheetName val="Лист1"/>
      <sheetName val="ШР 2015"/>
    </sheetNames>
    <sheetDataSet>
      <sheetData sheetId="0"/>
      <sheetData sheetId="1"/>
      <sheetData sheetId="2"/>
      <sheetData sheetId="3"/>
      <sheetData sheetId="4">
        <row r="15">
          <cell r="F15">
            <v>1167250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7" workbookViewId="0">
      <selection activeCell="Q45" sqref="Q45"/>
    </sheetView>
  </sheetViews>
  <sheetFormatPr defaultRowHeight="12.75" x14ac:dyDescent="0.2"/>
  <cols>
    <col min="1" max="1" width="5.85546875" style="1" customWidth="1"/>
    <col min="2" max="2" width="51" style="1" customWidth="1"/>
    <col min="3" max="3" width="7.5703125" style="1" hidden="1" customWidth="1"/>
    <col min="4" max="4" width="7.28515625" style="1" hidden="1" customWidth="1"/>
    <col min="5" max="5" width="9.7109375" style="1" hidden="1" customWidth="1"/>
    <col min="6" max="6" width="6.42578125" style="1" hidden="1" customWidth="1"/>
    <col min="7" max="7" width="12.28515625" style="1" customWidth="1"/>
    <col min="8" max="12" width="9.140625" style="1" hidden="1" customWidth="1"/>
    <col min="13" max="13" width="9.140625" style="1"/>
    <col min="14" max="14" width="10.5703125" style="1" bestFit="1" customWidth="1"/>
    <col min="15" max="16384" width="9.140625" style="1"/>
  </cols>
  <sheetData>
    <row r="1" spans="1:15" ht="32.25" customHeight="1" x14ac:dyDescent="0.2">
      <c r="B1" s="54" t="s">
        <v>203</v>
      </c>
      <c r="C1" s="54"/>
      <c r="D1" s="54"/>
    </row>
    <row r="2" spans="1:15" ht="27" customHeight="1" x14ac:dyDescent="0.2">
      <c r="A2" s="2" t="s">
        <v>0</v>
      </c>
      <c r="B2" s="5" t="s">
        <v>1</v>
      </c>
      <c r="C2" s="3" t="s">
        <v>2</v>
      </c>
      <c r="D2" s="42" t="s">
        <v>90</v>
      </c>
      <c r="E2" s="42" t="s">
        <v>92</v>
      </c>
      <c r="F2" s="42" t="s">
        <v>91</v>
      </c>
      <c r="G2" s="42" t="s">
        <v>93</v>
      </c>
      <c r="I2" s="1">
        <v>10251</v>
      </c>
      <c r="J2" s="1" t="s">
        <v>150</v>
      </c>
      <c r="K2" s="1" t="s">
        <v>151</v>
      </c>
      <c r="M2" s="42" t="s">
        <v>204</v>
      </c>
      <c r="N2" s="42" t="s">
        <v>91</v>
      </c>
      <c r="O2" s="42" t="s">
        <v>205</v>
      </c>
    </row>
    <row r="3" spans="1:15" ht="27" customHeight="1" x14ac:dyDescent="0.25">
      <c r="A3" s="2"/>
      <c r="B3" s="5" t="s">
        <v>214</v>
      </c>
      <c r="C3" s="3"/>
      <c r="D3" s="42"/>
      <c r="E3" s="42"/>
      <c r="F3" s="42"/>
      <c r="G3" s="27">
        <f>G4+G9+G10</f>
        <v>4318.7767499999991</v>
      </c>
      <c r="H3" s="27">
        <f t="shared" ref="H3:N3" si="0">H4+H9+H10</f>
        <v>1544.9097499999993</v>
      </c>
      <c r="I3" s="27">
        <f t="shared" si="0"/>
        <v>9.6165116682383207</v>
      </c>
      <c r="J3" s="27">
        <f t="shared" si="0"/>
        <v>769.32093345906571</v>
      </c>
      <c r="K3" s="27">
        <f t="shared" si="0"/>
        <v>31.446511668238319</v>
      </c>
      <c r="L3" s="27">
        <f t="shared" si="0"/>
        <v>0</v>
      </c>
      <c r="M3" s="27">
        <f t="shared" si="0"/>
        <v>3634.5838800000001</v>
      </c>
      <c r="N3" s="27">
        <f t="shared" si="0"/>
        <v>-516.89286999999922</v>
      </c>
      <c r="O3" s="26"/>
    </row>
    <row r="4" spans="1:15" x14ac:dyDescent="0.2">
      <c r="A4" s="4" t="s">
        <v>3</v>
      </c>
      <c r="B4" s="5" t="s">
        <v>4</v>
      </c>
      <c r="C4" s="6">
        <f>C5+C6+C7+C8+C1</f>
        <v>2465.6190000000001</v>
      </c>
      <c r="D4" s="6">
        <f>D5+D6+D7+D8+D1</f>
        <v>2592.1999999999998</v>
      </c>
      <c r="E4" s="6">
        <f>E5+E6+E7+E8</f>
        <v>2606.567</v>
      </c>
      <c r="F4" s="7">
        <f>E4-D4</f>
        <v>14.367000000000189</v>
      </c>
      <c r="G4" s="6">
        <f>G5+G6+G7+G8</f>
        <v>3493.7767499999991</v>
      </c>
      <c r="H4" s="6">
        <f t="shared" ref="H4:M4" si="1">H5+H6+H7+H8</f>
        <v>887.20974999999919</v>
      </c>
      <c r="I4" s="6">
        <f t="shared" si="1"/>
        <v>9.6165116682383207</v>
      </c>
      <c r="J4" s="6">
        <f t="shared" si="1"/>
        <v>769.32093345906571</v>
      </c>
      <c r="K4" s="6">
        <f t="shared" si="1"/>
        <v>31.446511668238319</v>
      </c>
      <c r="L4" s="6">
        <f t="shared" si="1"/>
        <v>0</v>
      </c>
      <c r="M4" s="6">
        <f t="shared" si="1"/>
        <v>2976.8838799999999</v>
      </c>
      <c r="N4" s="6">
        <f>M4-G4</f>
        <v>-516.89286999999922</v>
      </c>
      <c r="O4" s="5"/>
    </row>
    <row r="5" spans="1:15" x14ac:dyDescent="0.2">
      <c r="A5" s="4" t="s">
        <v>5</v>
      </c>
      <c r="B5" s="2" t="s">
        <v>6</v>
      </c>
      <c r="C5" s="7">
        <v>136.44399999999999</v>
      </c>
      <c r="D5" s="8">
        <f>D15</f>
        <v>188.2</v>
      </c>
      <c r="E5" s="8">
        <v>173.14</v>
      </c>
      <c r="F5" s="7">
        <f t="shared" ref="F5:F60" si="2">E5-D5</f>
        <v>-15.060000000000002</v>
      </c>
      <c r="G5" s="8">
        <v>199</v>
      </c>
      <c r="H5" s="23">
        <f>G5-E5</f>
        <v>25.860000000000014</v>
      </c>
      <c r="I5" s="25">
        <f>H5/I2/9*1000</f>
        <v>0.28029785711963079</v>
      </c>
      <c r="J5" s="25">
        <f>I5*80</f>
        <v>22.423828569570464</v>
      </c>
      <c r="K5" s="25">
        <f>1.62+I5</f>
        <v>1.900297857119631</v>
      </c>
      <c r="M5" s="7">
        <f>182.63823+16.605</f>
        <v>199.24322999999998</v>
      </c>
      <c r="N5" s="7">
        <f t="shared" ref="N5:N60" si="3">M5-G5</f>
        <v>0.24322999999998274</v>
      </c>
      <c r="O5" s="2"/>
    </row>
    <row r="6" spans="1:15" x14ac:dyDescent="0.2">
      <c r="A6" s="4" t="s">
        <v>7</v>
      </c>
      <c r="B6" s="2" t="s">
        <v>8</v>
      </c>
      <c r="C6" s="7">
        <v>427.08600000000001</v>
      </c>
      <c r="D6" s="7">
        <v>427</v>
      </c>
      <c r="E6" s="7">
        <v>454.8</v>
      </c>
      <c r="F6" s="7">
        <f t="shared" si="2"/>
        <v>27.800000000000011</v>
      </c>
      <c r="G6" s="8">
        <f>G18</f>
        <v>499</v>
      </c>
      <c r="H6" s="23">
        <f>G6-E6</f>
        <v>44.199999999999989</v>
      </c>
      <c r="I6" s="25">
        <f>H6/I2/9*1000</f>
        <v>0.47908605122535458</v>
      </c>
      <c r="J6" s="25">
        <f>I6*80</f>
        <v>38.326884098028366</v>
      </c>
      <c r="K6" s="25">
        <f>3.7+I6</f>
        <v>4.1790860512253545</v>
      </c>
      <c r="M6" s="7">
        <f>456.4941+42.84737</f>
        <v>499.34147000000002</v>
      </c>
      <c r="N6" s="7">
        <f t="shared" si="3"/>
        <v>0.34147000000001526</v>
      </c>
      <c r="O6" s="2"/>
    </row>
    <row r="7" spans="1:15" x14ac:dyDescent="0.2">
      <c r="A7" s="4" t="s">
        <v>9</v>
      </c>
      <c r="B7" s="2" t="s">
        <v>210</v>
      </c>
      <c r="C7" s="7">
        <v>1795.182</v>
      </c>
      <c r="D7" s="7">
        <v>1795</v>
      </c>
      <c r="E7" s="7">
        <v>1844.797</v>
      </c>
      <c r="F7" s="7">
        <f t="shared" si="2"/>
        <v>49.797000000000025</v>
      </c>
      <c r="G7" s="8">
        <f>G32</f>
        <v>2574.5747499999993</v>
      </c>
      <c r="H7" s="23">
        <f>G7-E7</f>
        <v>729.77774999999929</v>
      </c>
      <c r="I7" s="25">
        <f>H7/I2/9*1000</f>
        <v>7.9100982018014427</v>
      </c>
      <c r="J7" s="25">
        <f t="shared" ref="J7:J8" si="4">I7*80</f>
        <v>632.80785614411548</v>
      </c>
      <c r="K7" s="25">
        <f>15+I7</f>
        <v>22.910098201801443</v>
      </c>
      <c r="M7" s="7">
        <f>1845.76655+35.64+173.05732+3.24</f>
        <v>2057.7038699999998</v>
      </c>
      <c r="N7" s="7">
        <f t="shared" si="3"/>
        <v>-516.87087999999949</v>
      </c>
      <c r="O7" s="2"/>
    </row>
    <row r="8" spans="1:15" x14ac:dyDescent="0.2">
      <c r="A8" s="4" t="s">
        <v>11</v>
      </c>
      <c r="B8" s="2" t="s">
        <v>12</v>
      </c>
      <c r="C8" s="7">
        <v>106.907</v>
      </c>
      <c r="D8" s="7">
        <f>D55</f>
        <v>182</v>
      </c>
      <c r="E8" s="7">
        <v>133.83000000000001</v>
      </c>
      <c r="F8" s="7">
        <f t="shared" si="2"/>
        <v>-48.169999999999987</v>
      </c>
      <c r="G8" s="8">
        <f>G55</f>
        <v>221.202</v>
      </c>
      <c r="H8" s="23">
        <f>G8-E8</f>
        <v>87.371999999999986</v>
      </c>
      <c r="I8" s="25">
        <f>H8/I2/9*1000</f>
        <v>0.94702955809189338</v>
      </c>
      <c r="J8" s="25">
        <f t="shared" si="4"/>
        <v>75.762364647351475</v>
      </c>
      <c r="K8" s="25">
        <f>1.51+I8</f>
        <v>2.4570295580918935</v>
      </c>
      <c r="M8" s="7">
        <f>201.21553+19.37978</f>
        <v>220.59531000000001</v>
      </c>
      <c r="N8" s="7">
        <f t="shared" si="3"/>
        <v>-0.60668999999998618</v>
      </c>
      <c r="O8" s="2"/>
    </row>
    <row r="9" spans="1:15" ht="15" x14ac:dyDescent="0.25">
      <c r="A9" s="2" t="s">
        <v>13</v>
      </c>
      <c r="B9" s="5" t="s">
        <v>153</v>
      </c>
      <c r="C9" s="8">
        <v>29.7</v>
      </c>
      <c r="D9" s="8"/>
      <c r="E9" s="8">
        <f>3.5+1.149+8.34631-0.82103+3.967-0.576</f>
        <v>15.565279999999998</v>
      </c>
      <c r="F9" s="8">
        <v>10</v>
      </c>
      <c r="G9" s="12">
        <v>10</v>
      </c>
      <c r="H9" s="18"/>
      <c r="I9" s="44"/>
      <c r="J9" s="44"/>
      <c r="K9" s="44"/>
      <c r="L9" s="45"/>
      <c r="M9" s="18"/>
      <c r="N9" s="6"/>
      <c r="O9" s="5"/>
    </row>
    <row r="10" spans="1:15" x14ac:dyDescent="0.2">
      <c r="A10" s="2" t="s">
        <v>15</v>
      </c>
      <c r="B10" s="5" t="s">
        <v>16</v>
      </c>
      <c r="C10" s="8">
        <f>C11+C12</f>
        <v>432.483</v>
      </c>
      <c r="D10" s="8">
        <f>D11+D12+D13</f>
        <v>800.25</v>
      </c>
      <c r="E10" s="8">
        <f t="shared" ref="E10" si="5">E11+E12+E13</f>
        <v>743.18799999999999</v>
      </c>
      <c r="F10" s="8">
        <f>F11+F12+F13</f>
        <v>815</v>
      </c>
      <c r="G10" s="12">
        <f>SUM(G11:G13)</f>
        <v>815</v>
      </c>
      <c r="H10" s="12">
        <f t="shared" ref="H10:O10" si="6">SUM(H11:H13)</f>
        <v>657.7</v>
      </c>
      <c r="I10" s="12">
        <f t="shared" si="6"/>
        <v>0</v>
      </c>
      <c r="J10" s="12">
        <f t="shared" si="6"/>
        <v>0</v>
      </c>
      <c r="K10" s="12">
        <f t="shared" si="6"/>
        <v>0</v>
      </c>
      <c r="L10" s="12">
        <f t="shared" si="6"/>
        <v>0</v>
      </c>
      <c r="M10" s="12">
        <f t="shared" si="6"/>
        <v>657.7</v>
      </c>
      <c r="N10" s="12">
        <f t="shared" si="6"/>
        <v>0</v>
      </c>
      <c r="O10" s="12">
        <f t="shared" si="6"/>
        <v>0</v>
      </c>
    </row>
    <row r="11" spans="1:15" ht="15" x14ac:dyDescent="0.25">
      <c r="A11" s="2" t="s">
        <v>17</v>
      </c>
      <c r="B11" s="2" t="s">
        <v>107</v>
      </c>
      <c r="C11" s="8">
        <v>432.483</v>
      </c>
      <c r="D11" s="8">
        <v>450</v>
      </c>
      <c r="E11" s="8">
        <v>453</v>
      </c>
      <c r="F11" s="8">
        <f>750*51*12/1000</f>
        <v>459</v>
      </c>
      <c r="G11" s="8">
        <f>750*51*12/1000</f>
        <v>459</v>
      </c>
      <c r="H11" s="20">
        <f>422.25+38.25</f>
        <v>460.5</v>
      </c>
      <c r="I11" s="25"/>
      <c r="J11" s="25"/>
      <c r="K11" s="25"/>
      <c r="M11" s="20">
        <f>422.25+38.25</f>
        <v>460.5</v>
      </c>
      <c r="N11" s="7"/>
      <c r="O11" s="2"/>
    </row>
    <row r="12" spans="1:15" ht="15" x14ac:dyDescent="0.25">
      <c r="A12" s="2" t="s">
        <v>156</v>
      </c>
      <c r="B12" s="2" t="s">
        <v>108</v>
      </c>
      <c r="C12" s="8"/>
      <c r="D12" s="8">
        <v>180.25</v>
      </c>
      <c r="E12" s="8">
        <v>126.6</v>
      </c>
      <c r="F12" s="8">
        <f>0.2*80*12</f>
        <v>192</v>
      </c>
      <c r="G12" s="8">
        <f>0.2*80*12</f>
        <v>192</v>
      </c>
      <c r="H12" s="20">
        <f>180.8+16.4</f>
        <v>197.20000000000002</v>
      </c>
      <c r="I12" s="25"/>
      <c r="J12" s="25"/>
      <c r="K12" s="25"/>
      <c r="M12" s="20">
        <f>180.8+16.4</f>
        <v>197.20000000000002</v>
      </c>
      <c r="N12" s="7"/>
      <c r="O12" s="2"/>
    </row>
    <row r="13" spans="1:15" ht="15" x14ac:dyDescent="0.25">
      <c r="A13" s="2" t="s">
        <v>157</v>
      </c>
      <c r="B13" s="29" t="s">
        <v>155</v>
      </c>
      <c r="C13" s="8"/>
      <c r="D13" s="8">
        <v>170</v>
      </c>
      <c r="E13" s="8">
        <v>163.58799999999999</v>
      </c>
      <c r="F13" s="8">
        <v>164</v>
      </c>
      <c r="G13" s="8">
        <v>164</v>
      </c>
      <c r="H13" s="20"/>
      <c r="I13" s="25"/>
      <c r="J13" s="25"/>
      <c r="K13" s="25"/>
      <c r="M13" s="20"/>
      <c r="N13" s="7"/>
      <c r="O13" s="2"/>
    </row>
    <row r="14" spans="1:15" ht="15.75" x14ac:dyDescent="0.25">
      <c r="A14" s="10" t="s">
        <v>18</v>
      </c>
      <c r="B14" s="5" t="s">
        <v>19</v>
      </c>
      <c r="C14" s="6">
        <f>C15+C18+C32+C55</f>
        <v>2627.9869999999996</v>
      </c>
      <c r="D14" s="6">
        <f t="shared" ref="D14:M14" si="7">D15+D18+D32+D55+D57</f>
        <v>3022.8500000000004</v>
      </c>
      <c r="E14" s="6">
        <f t="shared" si="7"/>
        <v>2868.1315000000004</v>
      </c>
      <c r="F14" s="6">
        <f t="shared" si="7"/>
        <v>-154.71849999999984</v>
      </c>
      <c r="G14" s="46">
        <f t="shared" si="7"/>
        <v>3522.4917499999992</v>
      </c>
      <c r="H14" s="46">
        <f t="shared" si="7"/>
        <v>483.00099999999998</v>
      </c>
      <c r="I14" s="46">
        <f t="shared" si="7"/>
        <v>0</v>
      </c>
      <c r="J14" s="46">
        <f t="shared" si="7"/>
        <v>0</v>
      </c>
      <c r="K14" s="46">
        <f t="shared" si="7"/>
        <v>0</v>
      </c>
      <c r="L14" s="46">
        <f t="shared" si="7"/>
        <v>0</v>
      </c>
      <c r="M14" s="46">
        <f t="shared" si="7"/>
        <v>3402.90031</v>
      </c>
      <c r="N14" s="46">
        <f t="shared" si="3"/>
        <v>-119.59143999999924</v>
      </c>
      <c r="O14" s="46">
        <f>O15+O18+O32+O55+O57</f>
        <v>1708.0849599999999</v>
      </c>
    </row>
    <row r="15" spans="1:15" ht="10.5" customHeight="1" x14ac:dyDescent="0.2">
      <c r="A15" s="10" t="s">
        <v>20</v>
      </c>
      <c r="B15" s="5" t="s">
        <v>21</v>
      </c>
      <c r="C15" s="12">
        <f>C16+C17</f>
        <v>138.32</v>
      </c>
      <c r="D15" s="12">
        <f>D16+D17</f>
        <v>188.2</v>
      </c>
      <c r="E15" s="12">
        <v>181</v>
      </c>
      <c r="F15" s="7">
        <f t="shared" si="2"/>
        <v>-7.1999999999999886</v>
      </c>
      <c r="G15" s="12">
        <v>199</v>
      </c>
      <c r="I15" s="25"/>
      <c r="J15" s="25"/>
      <c r="M15" s="13">
        <f>158.48</f>
        <v>158.47999999999999</v>
      </c>
      <c r="N15" s="7">
        <f t="shared" si="3"/>
        <v>-40.52000000000001</v>
      </c>
      <c r="O15" s="2"/>
    </row>
    <row r="16" spans="1:15" ht="12.75" hidden="1" customHeight="1" x14ac:dyDescent="0.2">
      <c r="A16" s="10" t="s">
        <v>22</v>
      </c>
      <c r="B16" s="2" t="s">
        <v>23</v>
      </c>
      <c r="C16" s="8">
        <v>134.22</v>
      </c>
      <c r="D16" s="8">
        <f>14.85*12+2</f>
        <v>180.2</v>
      </c>
      <c r="E16" s="8">
        <f>28.83727+7.425+15.345*3+14.85+15.345*4+16.85+14.85</f>
        <v>190.22726999999998</v>
      </c>
      <c r="F16" s="7">
        <f t="shared" si="2"/>
        <v>10.027269999999987</v>
      </c>
      <c r="G16" s="8"/>
      <c r="M16" s="7"/>
      <c r="N16" s="7">
        <f t="shared" si="3"/>
        <v>0</v>
      </c>
      <c r="O16" s="2"/>
    </row>
    <row r="17" spans="1:15" ht="12.75" hidden="1" customHeight="1" x14ac:dyDescent="0.2">
      <c r="A17" s="10" t="s">
        <v>24</v>
      </c>
      <c r="B17" s="2" t="s">
        <v>25</v>
      </c>
      <c r="C17" s="8">
        <v>4.0999999999999996</v>
      </c>
      <c r="D17" s="8">
        <v>8</v>
      </c>
      <c r="E17" s="8">
        <f>2.2</f>
        <v>2.2000000000000002</v>
      </c>
      <c r="F17" s="7">
        <f t="shared" si="2"/>
        <v>-5.8</v>
      </c>
      <c r="G17" s="8"/>
      <c r="M17" s="7"/>
      <c r="N17" s="7">
        <f t="shared" si="3"/>
        <v>0</v>
      </c>
      <c r="O17" s="2"/>
    </row>
    <row r="18" spans="1:15" x14ac:dyDescent="0.2">
      <c r="A18" s="10" t="s">
        <v>26</v>
      </c>
      <c r="B18" s="5" t="s">
        <v>27</v>
      </c>
      <c r="C18" s="12">
        <f>SUM(C19:C31)</f>
        <v>606.60699999999997</v>
      </c>
      <c r="D18" s="12">
        <f>SUM(D19:D31)</f>
        <v>562.5</v>
      </c>
      <c r="E18" s="12">
        <f>SUM(E19:E31)</f>
        <v>284.38449000000003</v>
      </c>
      <c r="F18" s="7">
        <f t="shared" si="2"/>
        <v>-278.11550999999997</v>
      </c>
      <c r="G18" s="12">
        <f t="shared" ref="G18:M18" si="8">SUM(G19:G31)</f>
        <v>499</v>
      </c>
      <c r="H18" s="12">
        <f t="shared" si="8"/>
        <v>0</v>
      </c>
      <c r="I18" s="12">
        <f t="shared" si="8"/>
        <v>0</v>
      </c>
      <c r="J18" s="12">
        <f t="shared" si="8"/>
        <v>0</v>
      </c>
      <c r="K18" s="12">
        <f t="shared" si="8"/>
        <v>0</v>
      </c>
      <c r="L18" s="12">
        <f t="shared" si="8"/>
        <v>0</v>
      </c>
      <c r="M18" s="12">
        <f t="shared" si="8"/>
        <v>563.02263999999991</v>
      </c>
      <c r="N18" s="7">
        <f t="shared" si="3"/>
        <v>64.02263999999991</v>
      </c>
      <c r="O18" s="2"/>
    </row>
    <row r="19" spans="1:15" hidden="1" x14ac:dyDescent="0.2">
      <c r="A19" s="10" t="s">
        <v>28</v>
      </c>
      <c r="B19" s="2" t="s">
        <v>29</v>
      </c>
      <c r="C19" s="8"/>
      <c r="D19" s="8">
        <v>71</v>
      </c>
      <c r="E19" s="8">
        <v>71.286299999999997</v>
      </c>
      <c r="F19" s="7">
        <f t="shared" si="2"/>
        <v>0.28629999999999711</v>
      </c>
      <c r="G19" s="8"/>
      <c r="M19" s="7"/>
      <c r="N19" s="7">
        <f t="shared" si="3"/>
        <v>0</v>
      </c>
      <c r="O19" s="2"/>
    </row>
    <row r="20" spans="1:15" hidden="1" x14ac:dyDescent="0.2">
      <c r="A20" s="10" t="s">
        <v>30</v>
      </c>
      <c r="B20" s="2" t="s">
        <v>95</v>
      </c>
      <c r="C20" s="8">
        <v>7.6550000000000002</v>
      </c>
      <c r="D20" s="8">
        <v>1.5</v>
      </c>
      <c r="E20" s="8"/>
      <c r="F20" s="7">
        <f t="shared" si="2"/>
        <v>-1.5</v>
      </c>
      <c r="G20" s="8"/>
      <c r="M20" s="7"/>
      <c r="N20" s="7">
        <f t="shared" si="3"/>
        <v>0</v>
      </c>
      <c r="O20" s="2"/>
    </row>
    <row r="21" spans="1:15" ht="12.75" hidden="1" customHeight="1" x14ac:dyDescent="0.2">
      <c r="A21" s="10" t="s">
        <v>31</v>
      </c>
      <c r="B21" s="2" t="s">
        <v>32</v>
      </c>
      <c r="C21" s="8"/>
      <c r="D21" s="8">
        <v>0</v>
      </c>
      <c r="E21" s="8"/>
      <c r="F21" s="7">
        <f t="shared" si="2"/>
        <v>0</v>
      </c>
      <c r="G21" s="8"/>
      <c r="M21" s="7"/>
      <c r="N21" s="7">
        <f t="shared" si="3"/>
        <v>0</v>
      </c>
      <c r="O21" s="2"/>
    </row>
    <row r="22" spans="1:15" x14ac:dyDescent="0.2">
      <c r="A22" s="10" t="s">
        <v>33</v>
      </c>
      <c r="B22" s="2" t="s">
        <v>34</v>
      </c>
      <c r="C22" s="8">
        <v>78</v>
      </c>
      <c r="D22" s="8">
        <v>52</v>
      </c>
      <c r="E22" s="8">
        <v>34.5</v>
      </c>
      <c r="F22" s="7">
        <f t="shared" si="2"/>
        <v>-17.5</v>
      </c>
      <c r="G22" s="8">
        <v>35</v>
      </c>
      <c r="M22" s="7">
        <v>35.055</v>
      </c>
      <c r="N22" s="7">
        <f t="shared" si="3"/>
        <v>5.4999999999999716E-2</v>
      </c>
      <c r="O22" s="2">
        <v>40</v>
      </c>
    </row>
    <row r="23" spans="1:15" x14ac:dyDescent="0.2">
      <c r="A23" s="10" t="s">
        <v>35</v>
      </c>
      <c r="B23" s="2" t="s">
        <v>96</v>
      </c>
      <c r="C23" s="8">
        <v>287.87200000000001</v>
      </c>
      <c r="D23" s="8">
        <v>300</v>
      </c>
      <c r="E23" s="8"/>
      <c r="F23" s="7">
        <f t="shared" si="2"/>
        <v>-300</v>
      </c>
      <c r="G23" s="8">
        <v>298</v>
      </c>
      <c r="M23" s="7">
        <v>300.67363999999998</v>
      </c>
      <c r="N23" s="7">
        <f t="shared" si="3"/>
        <v>2.6736399999999776</v>
      </c>
      <c r="O23" s="2"/>
    </row>
    <row r="24" spans="1:15" x14ac:dyDescent="0.2">
      <c r="A24" s="10"/>
      <c r="B24" s="2" t="s">
        <v>211</v>
      </c>
      <c r="C24" s="8"/>
      <c r="D24" s="8"/>
      <c r="E24" s="8"/>
      <c r="F24" s="7"/>
      <c r="G24" s="8"/>
      <c r="M24" s="7">
        <v>150</v>
      </c>
      <c r="N24" s="7"/>
      <c r="O24" s="2"/>
    </row>
    <row r="25" spans="1:15" hidden="1" x14ac:dyDescent="0.2">
      <c r="A25" s="10" t="s">
        <v>36</v>
      </c>
      <c r="B25" s="2" t="s">
        <v>37</v>
      </c>
      <c r="C25" s="8">
        <v>174.8</v>
      </c>
      <c r="D25" s="8"/>
      <c r="E25" s="8">
        <f>11.3</f>
        <v>11.3</v>
      </c>
      <c r="F25" s="7">
        <f t="shared" si="2"/>
        <v>11.3</v>
      </c>
      <c r="G25" s="8"/>
      <c r="M25" s="7"/>
      <c r="N25" s="7">
        <f t="shared" si="3"/>
        <v>0</v>
      </c>
      <c r="O25" s="2"/>
    </row>
    <row r="26" spans="1:15" hidden="1" x14ac:dyDescent="0.2">
      <c r="A26" s="10" t="s">
        <v>38</v>
      </c>
      <c r="B26" s="2" t="s">
        <v>39</v>
      </c>
      <c r="C26" s="8">
        <v>15</v>
      </c>
      <c r="D26" s="8"/>
      <c r="E26" s="8">
        <v>1.9450000000000001</v>
      </c>
      <c r="F26" s="7">
        <f t="shared" si="2"/>
        <v>1.9450000000000001</v>
      </c>
      <c r="G26" s="8"/>
      <c r="M26" s="7"/>
      <c r="N26" s="7">
        <f t="shared" si="3"/>
        <v>0</v>
      </c>
      <c r="O26" s="2"/>
    </row>
    <row r="27" spans="1:15" x14ac:dyDescent="0.2">
      <c r="A27" s="10" t="s">
        <v>40</v>
      </c>
      <c r="B27" s="2" t="s">
        <v>170</v>
      </c>
      <c r="C27" s="8"/>
      <c r="D27" s="8">
        <v>15</v>
      </c>
      <c r="E27" s="8">
        <f>10.35+2.034</f>
        <v>12.384</v>
      </c>
      <c r="F27" s="7">
        <f t="shared" si="2"/>
        <v>-2.6159999999999997</v>
      </c>
      <c r="G27" s="8">
        <v>40</v>
      </c>
      <c r="M27" s="7">
        <f>9.196+2.798</f>
        <v>11.994</v>
      </c>
      <c r="N27" s="7">
        <f t="shared" si="3"/>
        <v>-28.006</v>
      </c>
      <c r="O27" s="2"/>
    </row>
    <row r="28" spans="1:15" hidden="1" x14ac:dyDescent="0.2">
      <c r="A28" s="10" t="s">
        <v>42</v>
      </c>
      <c r="B28" s="2" t="s">
        <v>43</v>
      </c>
      <c r="C28" s="8"/>
      <c r="D28" s="8">
        <v>8</v>
      </c>
      <c r="E28" s="8">
        <f>2.899+0.9+4.03</f>
        <v>7.8290000000000006</v>
      </c>
      <c r="F28" s="7">
        <f t="shared" si="2"/>
        <v>-0.17099999999999937</v>
      </c>
      <c r="G28" s="8"/>
      <c r="M28" s="7"/>
      <c r="N28" s="7">
        <f t="shared" si="3"/>
        <v>0</v>
      </c>
      <c r="O28" s="2"/>
    </row>
    <row r="29" spans="1:15" x14ac:dyDescent="0.2">
      <c r="A29" s="10" t="s">
        <v>44</v>
      </c>
      <c r="B29" s="2" t="s">
        <v>208</v>
      </c>
      <c r="C29" s="8"/>
      <c r="D29" s="8">
        <v>100</v>
      </c>
      <c r="E29" s="8">
        <f>99.12124+17.8</f>
        <v>116.92124</v>
      </c>
      <c r="F29" s="7">
        <f t="shared" si="2"/>
        <v>16.921239999999997</v>
      </c>
      <c r="G29" s="8">
        <v>50</v>
      </c>
      <c r="M29" s="7">
        <v>54.3</v>
      </c>
      <c r="N29" s="7">
        <f t="shared" si="3"/>
        <v>4.2999999999999972</v>
      </c>
      <c r="O29" s="2"/>
    </row>
    <row r="30" spans="1:15" x14ac:dyDescent="0.2">
      <c r="A30" s="10" t="s">
        <v>45</v>
      </c>
      <c r="B30" s="2" t="s">
        <v>149</v>
      </c>
      <c r="C30" s="8"/>
      <c r="D30" s="8"/>
      <c r="E30" s="8"/>
      <c r="F30" s="7">
        <f t="shared" si="2"/>
        <v>0</v>
      </c>
      <c r="G30" s="8">
        <v>76</v>
      </c>
      <c r="M30" s="7">
        <v>11</v>
      </c>
      <c r="N30" s="7">
        <f t="shared" si="3"/>
        <v>-65</v>
      </c>
      <c r="O30" s="2"/>
    </row>
    <row r="31" spans="1:15" hidden="1" x14ac:dyDescent="0.2">
      <c r="A31" s="10" t="s">
        <v>113</v>
      </c>
      <c r="B31" s="2" t="s">
        <v>124</v>
      </c>
      <c r="C31" s="8">
        <f>2.4+1.5+19.68+6.6+11.1+2</f>
        <v>43.28</v>
      </c>
      <c r="D31" s="8">
        <v>15</v>
      </c>
      <c r="E31" s="8">
        <f>28.21895</f>
        <v>28.21895</v>
      </c>
      <c r="F31" s="7">
        <f t="shared" si="2"/>
        <v>13.21895</v>
      </c>
      <c r="G31" s="8"/>
      <c r="M31" s="7"/>
      <c r="N31" s="7">
        <f t="shared" si="3"/>
        <v>0</v>
      </c>
      <c r="O31" s="2"/>
    </row>
    <row r="32" spans="1:15" x14ac:dyDescent="0.2">
      <c r="A32" s="10" t="s">
        <v>46</v>
      </c>
      <c r="B32" s="5" t="s">
        <v>47</v>
      </c>
      <c r="C32" s="12">
        <f>SUM(C33:C54)</f>
        <v>1701.0599999999997</v>
      </c>
      <c r="D32" s="12">
        <f>SUM(D33:D54)</f>
        <v>1990.15</v>
      </c>
      <c r="E32" s="12">
        <f>SUM(E33:E54)</f>
        <v>1956.9982100000002</v>
      </c>
      <c r="F32" s="7">
        <f t="shared" si="2"/>
        <v>-33.151789999999892</v>
      </c>
      <c r="G32" s="12">
        <f t="shared" ref="G32:M32" si="9">SUM(G33:G54)</f>
        <v>2574.5747499999993</v>
      </c>
      <c r="H32" s="12">
        <f t="shared" si="9"/>
        <v>483.00099999999998</v>
      </c>
      <c r="I32" s="12">
        <f t="shared" si="9"/>
        <v>0</v>
      </c>
      <c r="J32" s="12">
        <f t="shared" si="9"/>
        <v>0</v>
      </c>
      <c r="K32" s="12">
        <f t="shared" si="9"/>
        <v>0</v>
      </c>
      <c r="L32" s="12">
        <f t="shared" si="9"/>
        <v>0</v>
      </c>
      <c r="M32" s="12">
        <f t="shared" si="9"/>
        <v>2486.2815299999997</v>
      </c>
      <c r="N32" s="6">
        <f t="shared" si="3"/>
        <v>-88.293219999999565</v>
      </c>
      <c r="O32" s="6">
        <f>SUM(O33:O54)</f>
        <v>1708.0849599999999</v>
      </c>
    </row>
    <row r="33" spans="1:15" x14ac:dyDescent="0.2">
      <c r="A33" s="10" t="s">
        <v>48</v>
      </c>
      <c r="B33" s="2" t="s">
        <v>49</v>
      </c>
      <c r="C33" s="8">
        <v>1030.9000000000001</v>
      </c>
      <c r="D33" s="8">
        <f>[1]ШР!F15/1000</f>
        <v>1167.25</v>
      </c>
      <c r="E33" s="8">
        <f>1065.099+28</f>
        <v>1093.0989999999999</v>
      </c>
      <c r="F33" s="7">
        <f t="shared" si="2"/>
        <v>-74.151000000000067</v>
      </c>
      <c r="G33" s="8">
        <f>' ШР 16'!H15/1000</f>
        <v>1207.5999999999999</v>
      </c>
      <c r="M33" s="7">
        <f>29.848+74.676+107.893+43.633+4.5+34.69+92.109+7.5+3.136+58.932+38.801+12.701+165+10.681+126+103.838+3.043+80.827+16.287+110</f>
        <v>1124.0950000000003</v>
      </c>
      <c r="N33" s="7">
        <f t="shared" si="3"/>
        <v>-83.504999999999654</v>
      </c>
      <c r="O33" s="7">
        <f>('ШР 17'!C15+'ШР 17'!D15)*12/1000+'ШР 17'!G15/1000</f>
        <v>1354.1679999999999</v>
      </c>
    </row>
    <row r="34" spans="1:15" ht="15" x14ac:dyDescent="0.25">
      <c r="A34" s="10"/>
      <c r="B34" s="2" t="s">
        <v>109</v>
      </c>
      <c r="C34" s="8"/>
      <c r="D34" s="8"/>
      <c r="E34" s="8"/>
      <c r="F34" s="7"/>
      <c r="G34" s="8">
        <f>30*13</f>
        <v>390</v>
      </c>
      <c r="H34" s="20">
        <f>4.7+61.747+25.144+109.018+25.85+59.861+98.392+22.298+10.991+65</f>
        <v>483.00099999999998</v>
      </c>
      <c r="M34" s="7">
        <v>483.01</v>
      </c>
      <c r="N34" s="7">
        <f t="shared" si="3"/>
        <v>93.009999999999991</v>
      </c>
      <c r="O34" s="7"/>
    </row>
    <row r="35" spans="1:15" x14ac:dyDescent="0.2">
      <c r="A35" s="10" t="s">
        <v>50</v>
      </c>
      <c r="B35" s="2" t="s">
        <v>51</v>
      </c>
      <c r="C35" s="8">
        <v>206.1</v>
      </c>
      <c r="D35" s="8">
        <v>240</v>
      </c>
      <c r="E35" s="8">
        <f>232.5+14.50775</f>
        <v>247.00774999999999</v>
      </c>
      <c r="F35" s="7">
        <f t="shared" si="2"/>
        <v>7.0077499999999873</v>
      </c>
      <c r="G35" s="8">
        <f>E35</f>
        <v>247.00774999999999</v>
      </c>
      <c r="M35" s="13">
        <f>301</f>
        <v>301</v>
      </c>
      <c r="N35" s="7">
        <f t="shared" si="3"/>
        <v>53.992250000000013</v>
      </c>
      <c r="O35" s="7">
        <f>O33*22/100</f>
        <v>297.91695999999996</v>
      </c>
    </row>
    <row r="36" spans="1:15" x14ac:dyDescent="0.2">
      <c r="A36" s="10" t="s">
        <v>52</v>
      </c>
      <c r="B36" s="2" t="s">
        <v>53</v>
      </c>
      <c r="C36" s="8">
        <v>14.4</v>
      </c>
      <c r="D36" s="8">
        <v>14.4</v>
      </c>
      <c r="E36" s="8">
        <f>1.2*12-0.3</f>
        <v>14.099999999999998</v>
      </c>
      <c r="F36" s="7">
        <f t="shared" si="2"/>
        <v>-0.30000000000000249</v>
      </c>
      <c r="G36" s="8">
        <f>E36</f>
        <v>14.099999999999998</v>
      </c>
      <c r="M36" s="7">
        <v>14</v>
      </c>
      <c r="N36" s="7">
        <f t="shared" si="3"/>
        <v>-9.9999999999997868E-2</v>
      </c>
      <c r="O36" s="2">
        <v>14</v>
      </c>
    </row>
    <row r="37" spans="1:15" x14ac:dyDescent="0.2">
      <c r="A37" s="10" t="s">
        <v>55</v>
      </c>
      <c r="B37" s="2" t="s">
        <v>56</v>
      </c>
      <c r="C37" s="8"/>
      <c r="D37" s="8">
        <f>10*8</f>
        <v>80</v>
      </c>
      <c r="E37" s="8">
        <v>50</v>
      </c>
      <c r="F37" s="7">
        <f t="shared" si="2"/>
        <v>-30</v>
      </c>
      <c r="G37" s="8">
        <f>120+10</f>
        <v>130</v>
      </c>
      <c r="M37" s="7">
        <v>120</v>
      </c>
      <c r="N37" s="7">
        <f t="shared" si="3"/>
        <v>-10</v>
      </c>
      <c r="O37" s="2"/>
    </row>
    <row r="38" spans="1:15" hidden="1" x14ac:dyDescent="0.2">
      <c r="A38" s="10" t="s">
        <v>57</v>
      </c>
      <c r="B38" s="2" t="s">
        <v>89</v>
      </c>
      <c r="C38" s="8"/>
      <c r="D38" s="8"/>
      <c r="E38" s="8">
        <f>12+2.94</f>
        <v>14.94</v>
      </c>
      <c r="F38" s="7">
        <f t="shared" si="2"/>
        <v>14.94</v>
      </c>
      <c r="G38" s="8"/>
      <c r="M38" s="7"/>
      <c r="N38" s="7">
        <f t="shared" si="3"/>
        <v>0</v>
      </c>
      <c r="O38" s="2"/>
    </row>
    <row r="39" spans="1:15" x14ac:dyDescent="0.2">
      <c r="A39" s="10" t="s">
        <v>59</v>
      </c>
      <c r="B39" s="2" t="s">
        <v>58</v>
      </c>
      <c r="C39" s="8"/>
      <c r="D39" s="8">
        <v>5</v>
      </c>
      <c r="E39" s="8">
        <f>7+1.6</f>
        <v>8.6</v>
      </c>
      <c r="F39" s="7">
        <f t="shared" si="2"/>
        <v>3.5999999999999996</v>
      </c>
      <c r="G39" s="8">
        <v>2.5</v>
      </c>
      <c r="M39" s="7">
        <v>2.5</v>
      </c>
      <c r="N39" s="7">
        <f t="shared" si="3"/>
        <v>0</v>
      </c>
      <c r="O39" s="2"/>
    </row>
    <row r="40" spans="1:15" x14ac:dyDescent="0.2">
      <c r="A40" s="10" t="s">
        <v>61</v>
      </c>
      <c r="B40" s="2" t="s">
        <v>60</v>
      </c>
      <c r="C40" s="8">
        <v>36.5</v>
      </c>
      <c r="D40" s="8">
        <v>37</v>
      </c>
      <c r="E40" s="8">
        <v>30</v>
      </c>
      <c r="F40" s="7">
        <f t="shared" si="2"/>
        <v>-7</v>
      </c>
      <c r="G40" s="8">
        <f>E40</f>
        <v>30</v>
      </c>
      <c r="M40" s="7">
        <f>2.5*10+1.5*2</f>
        <v>28</v>
      </c>
      <c r="N40" s="7">
        <f t="shared" si="3"/>
        <v>-2</v>
      </c>
      <c r="O40" s="2">
        <f>1.5*12</f>
        <v>18</v>
      </c>
    </row>
    <row r="41" spans="1:15" ht="25.5" x14ac:dyDescent="0.2">
      <c r="A41" s="10" t="s">
        <v>63</v>
      </c>
      <c r="B41" s="3" t="s">
        <v>62</v>
      </c>
      <c r="C41" s="14">
        <v>17.05</v>
      </c>
      <c r="D41" s="8">
        <v>30</v>
      </c>
      <c r="E41" s="8">
        <f>5.39+30.93+2.424+3.09</f>
        <v>41.834000000000003</v>
      </c>
      <c r="F41" s="7">
        <f t="shared" si="2"/>
        <v>11.834000000000003</v>
      </c>
      <c r="G41" s="8">
        <v>35</v>
      </c>
      <c r="M41" s="7">
        <f>17.68963</f>
        <v>17.689630000000001</v>
      </c>
      <c r="N41" s="7">
        <f t="shared" si="3"/>
        <v>-17.310369999999999</v>
      </c>
      <c r="O41" s="2"/>
    </row>
    <row r="42" spans="1:15" x14ac:dyDescent="0.2">
      <c r="A42" s="10" t="s">
        <v>65</v>
      </c>
      <c r="B42" s="3" t="s">
        <v>115</v>
      </c>
      <c r="C42" s="14"/>
      <c r="D42" s="8"/>
      <c r="E42" s="8"/>
      <c r="F42" s="7">
        <f t="shared" si="2"/>
        <v>0</v>
      </c>
      <c r="G42" s="8">
        <v>40.299999999999997</v>
      </c>
      <c r="M42" s="7">
        <f>40.38315+9.2</f>
        <v>49.583150000000003</v>
      </c>
      <c r="N42" s="7">
        <f t="shared" si="3"/>
        <v>9.2831500000000062</v>
      </c>
      <c r="O42" s="2">
        <v>24</v>
      </c>
    </row>
    <row r="43" spans="1:15" x14ac:dyDescent="0.2">
      <c r="A43" s="10" t="s">
        <v>67</v>
      </c>
      <c r="B43" s="3" t="s">
        <v>94</v>
      </c>
      <c r="C43" s="14"/>
      <c r="D43" s="8"/>
      <c r="E43" s="8"/>
      <c r="F43" s="7">
        <f t="shared" si="2"/>
        <v>0</v>
      </c>
      <c r="G43" s="8">
        <v>40</v>
      </c>
      <c r="M43" s="7">
        <f>44</f>
        <v>44</v>
      </c>
      <c r="N43" s="7">
        <f t="shared" si="3"/>
        <v>4</v>
      </c>
      <c r="O43" s="2"/>
    </row>
    <row r="44" spans="1:15" x14ac:dyDescent="0.2">
      <c r="A44" s="10" t="s">
        <v>193</v>
      </c>
      <c r="B44" s="2" t="s">
        <v>64</v>
      </c>
      <c r="C44" s="8">
        <v>129.5</v>
      </c>
      <c r="D44" s="8">
        <v>130</v>
      </c>
      <c r="E44" s="8">
        <v>122.931</v>
      </c>
      <c r="F44" s="7">
        <f t="shared" si="2"/>
        <v>-7.0690000000000026</v>
      </c>
      <c r="G44" s="8">
        <f>120-30</f>
        <v>90</v>
      </c>
      <c r="M44" s="13">
        <v>120</v>
      </c>
      <c r="N44" s="7">
        <f t="shared" si="3"/>
        <v>30</v>
      </c>
      <c r="O44" s="2"/>
    </row>
    <row r="45" spans="1:15" x14ac:dyDescent="0.2">
      <c r="A45" s="10" t="s">
        <v>70</v>
      </c>
      <c r="B45" s="2" t="s">
        <v>112</v>
      </c>
      <c r="C45" s="8"/>
      <c r="D45" s="8"/>
      <c r="E45" s="8"/>
      <c r="F45" s="7">
        <f t="shared" si="2"/>
        <v>0</v>
      </c>
      <c r="G45" s="8">
        <v>45</v>
      </c>
      <c r="M45" s="7"/>
      <c r="N45" s="7">
        <f t="shared" si="3"/>
        <v>-45</v>
      </c>
      <c r="O45" s="2"/>
    </row>
    <row r="46" spans="1:15" x14ac:dyDescent="0.2">
      <c r="A46" s="10" t="s">
        <v>71</v>
      </c>
      <c r="B46" s="2" t="s">
        <v>66</v>
      </c>
      <c r="C46" s="8">
        <v>14.99</v>
      </c>
      <c r="D46" s="8">
        <v>15</v>
      </c>
      <c r="E46" s="8">
        <v>5</v>
      </c>
      <c r="F46" s="7">
        <f t="shared" si="2"/>
        <v>-10</v>
      </c>
      <c r="G46" s="8">
        <f>5</f>
        <v>5</v>
      </c>
      <c r="M46" s="13">
        <v>30</v>
      </c>
      <c r="N46" s="7">
        <f t="shared" si="3"/>
        <v>25</v>
      </c>
      <c r="O46" s="2"/>
    </row>
    <row r="47" spans="1:15" x14ac:dyDescent="0.2">
      <c r="A47" s="10" t="s">
        <v>72</v>
      </c>
      <c r="B47" s="2" t="s">
        <v>68</v>
      </c>
      <c r="C47" s="8">
        <v>68.599999999999994</v>
      </c>
      <c r="D47" s="8">
        <v>55</v>
      </c>
      <c r="E47" s="8">
        <v>113.7</v>
      </c>
      <c r="F47" s="7">
        <f t="shared" si="2"/>
        <v>58.7</v>
      </c>
      <c r="G47" s="8">
        <f>E47</f>
        <v>113.7</v>
      </c>
      <c r="M47" s="13">
        <v>88.719560000000001</v>
      </c>
      <c r="N47" s="7">
        <f t="shared" si="3"/>
        <v>-24.980440000000002</v>
      </c>
      <c r="O47" s="2"/>
    </row>
    <row r="48" spans="1:15" x14ac:dyDescent="0.2">
      <c r="A48" s="10" t="s">
        <v>73</v>
      </c>
      <c r="B48" s="2" t="s">
        <v>212</v>
      </c>
      <c r="C48" s="8">
        <f>21.72+4.4</f>
        <v>26.119999999999997</v>
      </c>
      <c r="D48" s="8">
        <v>46</v>
      </c>
      <c r="E48" s="8">
        <f>0.94678+0.4+0.71622+0.982+26.263+3.9+2.8+0.88+0.45+0.9899+0.8112</f>
        <v>39.139099999999999</v>
      </c>
      <c r="F48" s="7">
        <f t="shared" si="2"/>
        <v>-6.8609000000000009</v>
      </c>
      <c r="G48" s="8">
        <v>15</v>
      </c>
      <c r="M48" s="7">
        <f>2.5+4.7</f>
        <v>7.2</v>
      </c>
      <c r="N48" s="7">
        <f t="shared" si="3"/>
        <v>-7.8</v>
      </c>
      <c r="O48" s="2"/>
    </row>
    <row r="49" spans="1:17" x14ac:dyDescent="0.2">
      <c r="A49" s="10" t="s">
        <v>74</v>
      </c>
      <c r="B49" s="2" t="s">
        <v>99</v>
      </c>
      <c r="C49" s="8">
        <v>6</v>
      </c>
      <c r="D49" s="8">
        <v>7</v>
      </c>
      <c r="E49" s="8">
        <f>2.961+0.669+2.941</f>
        <v>6.5709999999999997</v>
      </c>
      <c r="F49" s="7">
        <f t="shared" si="2"/>
        <v>-0.42900000000000027</v>
      </c>
      <c r="G49" s="8">
        <f>E49</f>
        <v>6.5709999999999997</v>
      </c>
      <c r="M49" s="7">
        <f>2.69519</f>
        <v>2.6951900000000002</v>
      </c>
      <c r="N49" s="7">
        <f t="shared" si="3"/>
        <v>-3.8758099999999995</v>
      </c>
      <c r="O49" s="2"/>
    </row>
    <row r="50" spans="1:17" x14ac:dyDescent="0.2">
      <c r="A50" s="10" t="s">
        <v>194</v>
      </c>
      <c r="B50" s="2" t="s">
        <v>213</v>
      </c>
      <c r="C50" s="8">
        <f>3.3+3.6+0.7</f>
        <v>7.6000000000000005</v>
      </c>
      <c r="D50" s="8">
        <f>4+7</f>
        <v>11</v>
      </c>
      <c r="E50" s="8">
        <f>3.337+6+0.522+0.737+0.2</f>
        <v>10.795999999999999</v>
      </c>
      <c r="F50" s="7">
        <f t="shared" si="2"/>
        <v>-0.20400000000000063</v>
      </c>
      <c r="G50" s="8">
        <f>E50</f>
        <v>10.795999999999999</v>
      </c>
      <c r="M50" s="7">
        <f>3</f>
        <v>3</v>
      </c>
      <c r="N50" s="7">
        <f t="shared" si="3"/>
        <v>-7.7959999999999994</v>
      </c>
      <c r="O50" s="2"/>
    </row>
    <row r="51" spans="1:17" x14ac:dyDescent="0.2">
      <c r="A51" s="10" t="s">
        <v>195</v>
      </c>
      <c r="B51" s="2" t="s">
        <v>75</v>
      </c>
      <c r="C51" s="8">
        <v>29.8</v>
      </c>
      <c r="D51" s="8">
        <v>31.5</v>
      </c>
      <c r="E51" s="8">
        <v>31.644359999999999</v>
      </c>
      <c r="F51" s="7">
        <f t="shared" si="2"/>
        <v>0.14435999999999893</v>
      </c>
      <c r="G51" s="8">
        <v>35</v>
      </c>
      <c r="M51" s="13">
        <v>30</v>
      </c>
      <c r="N51" s="7">
        <f t="shared" si="3"/>
        <v>-5</v>
      </c>
      <c r="O51" s="2"/>
    </row>
    <row r="52" spans="1:17" hidden="1" x14ac:dyDescent="0.2">
      <c r="A52" s="10" t="s">
        <v>196</v>
      </c>
      <c r="B52" s="2" t="s">
        <v>122</v>
      </c>
      <c r="C52" s="8"/>
      <c r="D52" s="8"/>
      <c r="E52" s="8">
        <v>4.4000000000000004</v>
      </c>
      <c r="F52" s="7">
        <f t="shared" si="2"/>
        <v>4.4000000000000004</v>
      </c>
      <c r="G52" s="8"/>
      <c r="M52" s="7"/>
      <c r="N52" s="7">
        <f t="shared" si="3"/>
        <v>0</v>
      </c>
      <c r="O52" s="2"/>
    </row>
    <row r="53" spans="1:17" ht="13.5" customHeight="1" x14ac:dyDescent="0.2">
      <c r="A53" s="10" t="s">
        <v>197</v>
      </c>
      <c r="B53" s="2" t="s">
        <v>209</v>
      </c>
      <c r="C53" s="8">
        <v>42.2</v>
      </c>
      <c r="D53" s="8">
        <v>51</v>
      </c>
      <c r="E53" s="8">
        <f>62.1-2.424-3.09</f>
        <v>56.585999999999999</v>
      </c>
      <c r="F53" s="7">
        <f t="shared" si="2"/>
        <v>5.5859999999999985</v>
      </c>
      <c r="G53" s="7">
        <v>57</v>
      </c>
      <c r="H53" s="9"/>
      <c r="M53" s="7">
        <f>3.138+3.78+4.365</f>
        <v>11.282999999999999</v>
      </c>
      <c r="N53" s="7">
        <f t="shared" si="3"/>
        <v>-45.716999999999999</v>
      </c>
      <c r="O53" s="2"/>
    </row>
    <row r="54" spans="1:17" customFormat="1" ht="15" x14ac:dyDescent="0.25">
      <c r="A54" s="10" t="s">
        <v>198</v>
      </c>
      <c r="B54" s="15" t="s">
        <v>114</v>
      </c>
      <c r="C54" s="8">
        <v>71.3</v>
      </c>
      <c r="D54" s="8">
        <v>70</v>
      </c>
      <c r="E54" s="8">
        <f>64.35+2.3</f>
        <v>66.649999999999991</v>
      </c>
      <c r="F54" s="7">
        <f t="shared" si="2"/>
        <v>-3.3500000000000085</v>
      </c>
      <c r="G54" s="8">
        <v>60</v>
      </c>
      <c r="M54" s="21">
        <f>8.906+0.6</f>
        <v>9.5060000000000002</v>
      </c>
      <c r="N54" s="7">
        <f t="shared" si="3"/>
        <v>-50.494</v>
      </c>
      <c r="O54" s="20"/>
    </row>
    <row r="55" spans="1:17" x14ac:dyDescent="0.2">
      <c r="A55" s="10" t="s">
        <v>199</v>
      </c>
      <c r="B55" s="5" t="s">
        <v>79</v>
      </c>
      <c r="C55" s="12">
        <f>C56</f>
        <v>182</v>
      </c>
      <c r="D55" s="12">
        <f t="shared" ref="D55:M55" si="10">D56</f>
        <v>182</v>
      </c>
      <c r="E55" s="12">
        <f t="shared" si="10"/>
        <v>181.202</v>
      </c>
      <c r="F55" s="7">
        <f t="shared" si="2"/>
        <v>-0.79800000000000182</v>
      </c>
      <c r="G55" s="12">
        <f t="shared" si="10"/>
        <v>221.202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166.11614</v>
      </c>
      <c r="N55" s="6">
        <f t="shared" si="3"/>
        <v>-55.085859999999997</v>
      </c>
      <c r="O55" s="5"/>
    </row>
    <row r="56" spans="1:17" x14ac:dyDescent="0.2">
      <c r="A56" s="10" t="s">
        <v>200</v>
      </c>
      <c r="B56" s="2" t="s">
        <v>81</v>
      </c>
      <c r="C56" s="8">
        <v>182</v>
      </c>
      <c r="D56" s="8">
        <v>182</v>
      </c>
      <c r="E56" s="8">
        <f>172.234+8.968</f>
        <v>181.202</v>
      </c>
      <c r="F56" s="7">
        <f t="shared" si="2"/>
        <v>-0.79800000000000182</v>
      </c>
      <c r="G56" s="12">
        <f>E56+2+38</f>
        <v>221.202</v>
      </c>
      <c r="M56" s="13">
        <f>164.11614+2</f>
        <v>166.11614</v>
      </c>
      <c r="N56" s="7">
        <f t="shared" si="3"/>
        <v>-55.085859999999997</v>
      </c>
      <c r="O56" s="2"/>
    </row>
    <row r="57" spans="1:17" customFormat="1" ht="15.75" x14ac:dyDescent="0.25">
      <c r="A57" s="10" t="s">
        <v>82</v>
      </c>
      <c r="B57" s="24" t="s">
        <v>87</v>
      </c>
      <c r="C57" s="8"/>
      <c r="D57" s="12">
        <v>100</v>
      </c>
      <c r="E57" s="12">
        <f>E58+E59</f>
        <v>264.54680000000002</v>
      </c>
      <c r="F57" s="7">
        <f t="shared" si="2"/>
        <v>164.54680000000002</v>
      </c>
      <c r="G57" s="12">
        <f>G58+G59</f>
        <v>28.715</v>
      </c>
      <c r="H57" s="12">
        <f t="shared" ref="H57:M57" si="11">H58+H59</f>
        <v>0</v>
      </c>
      <c r="I57" s="12">
        <f t="shared" si="11"/>
        <v>0</v>
      </c>
      <c r="J57" s="12">
        <f t="shared" si="11"/>
        <v>0</v>
      </c>
      <c r="K57" s="12">
        <f t="shared" si="11"/>
        <v>0</v>
      </c>
      <c r="L57" s="12">
        <f t="shared" si="11"/>
        <v>0</v>
      </c>
      <c r="M57" s="12">
        <f t="shared" si="11"/>
        <v>29</v>
      </c>
      <c r="N57" s="6">
        <f t="shared" si="3"/>
        <v>0.28500000000000014</v>
      </c>
      <c r="O57" s="18"/>
      <c r="Q57" s="43">
        <f>M33+'предприн деят'!G10</f>
        <v>1584.2750300000002</v>
      </c>
    </row>
    <row r="58" spans="1:17" customFormat="1" ht="12.75" customHeight="1" x14ac:dyDescent="0.25">
      <c r="A58" s="10"/>
      <c r="B58" s="15" t="s">
        <v>88</v>
      </c>
      <c r="C58" s="8"/>
      <c r="D58" s="8"/>
      <c r="E58" s="8">
        <f>3.5+8+8.3968+26+128.3+75</f>
        <v>249.1968</v>
      </c>
      <c r="F58" s="7">
        <f t="shared" si="2"/>
        <v>249.1968</v>
      </c>
      <c r="G58" s="8">
        <v>28.715</v>
      </c>
      <c r="M58" s="21">
        <v>29</v>
      </c>
      <c r="N58" s="7">
        <f t="shared" si="3"/>
        <v>0.28500000000000014</v>
      </c>
      <c r="O58" s="20"/>
    </row>
    <row r="59" spans="1:17" customFormat="1" ht="12.75" hidden="1" customHeight="1" x14ac:dyDescent="0.25">
      <c r="A59" s="2"/>
      <c r="B59" s="2" t="s">
        <v>111</v>
      </c>
      <c r="C59" s="8"/>
      <c r="D59" s="8"/>
      <c r="E59" s="8">
        <v>15.35</v>
      </c>
      <c r="F59" s="7">
        <f t="shared" si="2"/>
        <v>15.35</v>
      </c>
      <c r="G59" s="8"/>
      <c r="M59" s="21"/>
      <c r="N59" s="7">
        <f t="shared" si="3"/>
        <v>0</v>
      </c>
      <c r="O59" s="20"/>
    </row>
    <row r="60" spans="1:17" x14ac:dyDescent="0.2">
      <c r="A60" s="10"/>
      <c r="B60" s="37" t="s">
        <v>169</v>
      </c>
      <c r="C60" s="6">
        <f>C4-C14</f>
        <v>-162.36799999999948</v>
      </c>
      <c r="D60" s="6">
        <f>D4-D14</f>
        <v>-430.65000000000055</v>
      </c>
      <c r="E60" s="12">
        <f>E4-E14</f>
        <v>-261.56450000000041</v>
      </c>
      <c r="F60" s="7">
        <f t="shared" si="2"/>
        <v>169.08550000000014</v>
      </c>
      <c r="G60" s="6">
        <f t="shared" ref="G60:M60" si="12">G4-G14</f>
        <v>-28.715000000000146</v>
      </c>
      <c r="H60" s="6">
        <f t="shared" si="12"/>
        <v>404.20874999999921</v>
      </c>
      <c r="I60" s="6">
        <f t="shared" si="12"/>
        <v>9.6165116682383207</v>
      </c>
      <c r="J60" s="6">
        <f t="shared" si="12"/>
        <v>769.32093345906571</v>
      </c>
      <c r="K60" s="6">
        <f t="shared" si="12"/>
        <v>31.446511668238319</v>
      </c>
      <c r="L60" s="6">
        <f t="shared" si="12"/>
        <v>0</v>
      </c>
      <c r="M60" s="6">
        <f t="shared" si="12"/>
        <v>-426.01643000000013</v>
      </c>
      <c r="N60" s="6">
        <f t="shared" si="3"/>
        <v>-397.30142999999998</v>
      </c>
      <c r="O60" s="5"/>
    </row>
    <row r="61" spans="1:17" x14ac:dyDescent="0.2">
      <c r="E61" s="16"/>
      <c r="F61" s="16"/>
    </row>
    <row r="62" spans="1:17" x14ac:dyDescent="0.2">
      <c r="E62" s="16"/>
      <c r="F62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pane xSplit="3" ySplit="2" topLeftCell="G3" activePane="bottomRight" state="frozen"/>
      <selection pane="topRight" activeCell="D1" sqref="D1"/>
      <selection pane="bottomLeft" activeCell="A4" sqref="A4"/>
      <selection pane="bottomRight" activeCell="U41" sqref="U41"/>
    </sheetView>
  </sheetViews>
  <sheetFormatPr defaultRowHeight="12.75" x14ac:dyDescent="0.2"/>
  <cols>
    <col min="1" max="1" width="5.85546875" style="1" customWidth="1"/>
    <col min="2" max="2" width="51" style="1" customWidth="1"/>
    <col min="3" max="3" width="7.5703125" style="1" hidden="1" customWidth="1"/>
    <col min="4" max="4" width="7.28515625" style="1" hidden="1" customWidth="1"/>
    <col min="5" max="5" width="9.7109375" style="1" hidden="1" customWidth="1"/>
    <col min="6" max="6" width="6.42578125" style="1" hidden="1" customWidth="1"/>
    <col min="7" max="7" width="12.28515625" style="1" customWidth="1"/>
    <col min="8" max="12" width="9.140625" style="1" hidden="1" customWidth="1"/>
    <col min="13" max="13" width="9.140625" style="1"/>
    <col min="14" max="14" width="10.5703125" style="1" bestFit="1" customWidth="1"/>
    <col min="15" max="15" width="9.140625" style="1"/>
    <col min="16" max="16" width="11.28515625" style="1" hidden="1" customWidth="1"/>
    <col min="17" max="19" width="0" style="1" hidden="1" customWidth="1"/>
    <col min="20" max="16384" width="9.140625" style="1"/>
  </cols>
  <sheetData>
    <row r="1" spans="1:18" ht="32.25" customHeight="1" x14ac:dyDescent="0.2">
      <c r="B1" s="54" t="s">
        <v>203</v>
      </c>
      <c r="C1" s="54"/>
      <c r="D1" s="54"/>
    </row>
    <row r="2" spans="1:18" ht="27" customHeight="1" x14ac:dyDescent="0.2">
      <c r="A2" s="2" t="s">
        <v>0</v>
      </c>
      <c r="B2" s="5" t="s">
        <v>1</v>
      </c>
      <c r="C2" s="3" t="s">
        <v>2</v>
      </c>
      <c r="D2" s="42" t="s">
        <v>90</v>
      </c>
      <c r="E2" s="42" t="s">
        <v>92</v>
      </c>
      <c r="F2" s="42" t="s">
        <v>91</v>
      </c>
      <c r="G2" s="42" t="s">
        <v>93</v>
      </c>
      <c r="I2" s="1">
        <v>10251</v>
      </c>
      <c r="J2" s="1" t="s">
        <v>150</v>
      </c>
      <c r="K2" s="1" t="s">
        <v>151</v>
      </c>
      <c r="M2" s="42" t="s">
        <v>204</v>
      </c>
      <c r="N2" s="42" t="s">
        <v>91</v>
      </c>
      <c r="O2" s="42" t="s">
        <v>205</v>
      </c>
    </row>
    <row r="3" spans="1:18" x14ac:dyDescent="0.2">
      <c r="A3" s="4" t="s">
        <v>3</v>
      </c>
      <c r="B3" s="5" t="s">
        <v>4</v>
      </c>
      <c r="C3" s="6">
        <f>C4+C5+C6+C7+C1</f>
        <v>2465.6190000000001</v>
      </c>
      <c r="D3" s="6">
        <f>D4+D5+D6+D7+D1</f>
        <v>2592.1999999999998</v>
      </c>
      <c r="E3" s="6">
        <f>E4+E5+E6+E7</f>
        <v>2606.567</v>
      </c>
      <c r="F3" s="7">
        <f>E3-D3</f>
        <v>14.367000000000189</v>
      </c>
      <c r="G3" s="6">
        <f>G4+G5+G6+G7</f>
        <v>3103.77675</v>
      </c>
      <c r="H3" s="6">
        <f t="shared" ref="H3:N3" si="0">H4+H5+H6+H7</f>
        <v>497.20974999999976</v>
      </c>
      <c r="I3" s="6">
        <f t="shared" si="0"/>
        <v>5.3892818044851962</v>
      </c>
      <c r="J3" s="6">
        <f t="shared" si="0"/>
        <v>431.14254435881566</v>
      </c>
      <c r="K3" s="6">
        <f t="shared" si="0"/>
        <v>27.219281804485195</v>
      </c>
      <c r="L3" s="6">
        <f t="shared" si="0"/>
        <v>0</v>
      </c>
      <c r="M3" s="6">
        <f t="shared" si="0"/>
        <v>2980.5743499999999</v>
      </c>
      <c r="N3" s="6">
        <f t="shared" si="0"/>
        <v>-123.2023999999995</v>
      </c>
      <c r="O3" s="6">
        <f>SUM(O4:O9)</f>
        <v>3202.2274939245622</v>
      </c>
    </row>
    <row r="4" spans="1:18" x14ac:dyDescent="0.2">
      <c r="A4" s="4" t="s">
        <v>5</v>
      </c>
      <c r="B4" s="2" t="s">
        <v>6</v>
      </c>
      <c r="C4" s="7">
        <v>136.44399999999999</v>
      </c>
      <c r="D4" s="8">
        <f>D11</f>
        <v>188.2</v>
      </c>
      <c r="E4" s="8">
        <v>173.14</v>
      </c>
      <c r="F4" s="7">
        <f t="shared" ref="F4:F57" si="1">E4-D4</f>
        <v>-15.060000000000002</v>
      </c>
      <c r="G4" s="8">
        <v>199</v>
      </c>
      <c r="H4" s="23">
        <f>G4-E4</f>
        <v>25.860000000000014</v>
      </c>
      <c r="I4" s="25">
        <f>H4/I2/9*1000</f>
        <v>0.28029785711963079</v>
      </c>
      <c r="J4" s="25">
        <f>I4*80</f>
        <v>22.423828569570464</v>
      </c>
      <c r="K4" s="25">
        <f>1.62+I4</f>
        <v>1.900297857119631</v>
      </c>
      <c r="M4" s="7">
        <v>199.45657</v>
      </c>
      <c r="N4" s="7">
        <f t="shared" ref="N4:N57" si="2">M4-G4</f>
        <v>0.45656999999999925</v>
      </c>
      <c r="O4" s="6">
        <f>M4</f>
        <v>199.45657</v>
      </c>
      <c r="P4" s="1" t="s">
        <v>231</v>
      </c>
      <c r="R4" s="41"/>
    </row>
    <row r="5" spans="1:18" x14ac:dyDescent="0.2">
      <c r="A5" s="4" t="s">
        <v>7</v>
      </c>
      <c r="B5" s="2" t="s">
        <v>8</v>
      </c>
      <c r="C5" s="7">
        <v>427.08600000000001</v>
      </c>
      <c r="D5" s="7">
        <v>427</v>
      </c>
      <c r="E5" s="7">
        <v>454.8</v>
      </c>
      <c r="F5" s="7">
        <f t="shared" si="1"/>
        <v>27.800000000000011</v>
      </c>
      <c r="G5" s="8">
        <f>G14</f>
        <v>499</v>
      </c>
      <c r="H5" s="23">
        <f>G5-E5</f>
        <v>44.199999999999989</v>
      </c>
      <c r="I5" s="25">
        <f>H5/I2/9*1000</f>
        <v>0.47908605122535458</v>
      </c>
      <c r="J5" s="25">
        <f>I5*80</f>
        <v>38.326884098028366</v>
      </c>
      <c r="K5" s="25">
        <f>3.7+I5</f>
        <v>4.1790860512253545</v>
      </c>
      <c r="M5" s="7">
        <v>500.024</v>
      </c>
      <c r="N5" s="7">
        <f t="shared" si="2"/>
        <v>1.0240000000000009</v>
      </c>
      <c r="O5" s="6">
        <f>тарифы!I10/1000</f>
        <v>522.04611752801361</v>
      </c>
    </row>
    <row r="6" spans="1:18" x14ac:dyDescent="0.2">
      <c r="A6" s="4" t="s">
        <v>9</v>
      </c>
      <c r="B6" s="2" t="s">
        <v>10</v>
      </c>
      <c r="C6" s="7">
        <v>1795.182</v>
      </c>
      <c r="D6" s="7">
        <v>1795</v>
      </c>
      <c r="E6" s="7">
        <v>1844.797</v>
      </c>
      <c r="F6" s="7">
        <f t="shared" si="1"/>
        <v>49.797000000000025</v>
      </c>
      <c r="G6" s="8">
        <f>G30</f>
        <v>2184.5747499999998</v>
      </c>
      <c r="H6" s="23">
        <f>G6-E6</f>
        <v>339.77774999999974</v>
      </c>
      <c r="I6" s="25">
        <f>H6/I2/9*1000</f>
        <v>3.6828683380483174</v>
      </c>
      <c r="J6" s="25">
        <f t="shared" ref="J6:J7" si="3">I6*80</f>
        <v>294.62946704386536</v>
      </c>
      <c r="K6" s="25">
        <f>15+I6</f>
        <v>18.682868338048316</v>
      </c>
      <c r="M6" s="7">
        <f>2021.39714+38.952</f>
        <v>2060.3491400000003</v>
      </c>
      <c r="N6" s="7">
        <f t="shared" si="2"/>
        <v>-124.22560999999951</v>
      </c>
      <c r="O6" s="6">
        <f>тарифы!I11/1000</f>
        <v>2148.1676472847935</v>
      </c>
    </row>
    <row r="7" spans="1:18" x14ac:dyDescent="0.2">
      <c r="A7" s="4" t="s">
        <v>11</v>
      </c>
      <c r="B7" s="2" t="s">
        <v>12</v>
      </c>
      <c r="C7" s="7">
        <v>106.907</v>
      </c>
      <c r="D7" s="7">
        <f>D52</f>
        <v>182</v>
      </c>
      <c r="E7" s="7">
        <v>133.83000000000001</v>
      </c>
      <c r="F7" s="7">
        <f t="shared" si="1"/>
        <v>-48.169999999999987</v>
      </c>
      <c r="G7" s="8">
        <f>G52</f>
        <v>221.202</v>
      </c>
      <c r="H7" s="23">
        <f>G7-E7</f>
        <v>87.371999999999986</v>
      </c>
      <c r="I7" s="25">
        <f>H7/I2/9*1000</f>
        <v>0.94702955809189338</v>
      </c>
      <c r="J7" s="25">
        <f t="shared" si="3"/>
        <v>75.762364647351475</v>
      </c>
      <c r="K7" s="25">
        <f>1.51+I7</f>
        <v>2.4570295580918935</v>
      </c>
      <c r="M7" s="7">
        <v>220.74464</v>
      </c>
      <c r="N7" s="7">
        <f t="shared" si="2"/>
        <v>-0.45735999999999422</v>
      </c>
      <c r="O7" s="6">
        <f>тарифы!I12/1000</f>
        <v>294.55715911175486</v>
      </c>
      <c r="P7" s="1" t="s">
        <v>232</v>
      </c>
    </row>
    <row r="8" spans="1:18" x14ac:dyDescent="0.2">
      <c r="A8" s="4" t="s">
        <v>238</v>
      </c>
      <c r="B8" s="2" t="s">
        <v>237</v>
      </c>
      <c r="C8" s="7"/>
      <c r="D8" s="7"/>
      <c r="E8" s="7"/>
      <c r="F8" s="7"/>
      <c r="G8" s="8">
        <v>38</v>
      </c>
      <c r="H8" s="23"/>
      <c r="I8" s="25"/>
      <c r="J8" s="25"/>
      <c r="K8" s="25"/>
      <c r="M8" s="7">
        <v>38.951999999999998</v>
      </c>
      <c r="N8" s="7">
        <f t="shared" si="2"/>
        <v>0.95199999999999818</v>
      </c>
      <c r="O8" s="6">
        <v>38</v>
      </c>
    </row>
    <row r="9" spans="1:18" x14ac:dyDescent="0.2">
      <c r="A9" s="4"/>
      <c r="B9" s="2"/>
      <c r="C9" s="7"/>
      <c r="D9" s="7"/>
      <c r="E9" s="7"/>
      <c r="F9" s="7"/>
      <c r="G9" s="8"/>
      <c r="H9" s="23"/>
      <c r="I9" s="25"/>
      <c r="J9" s="25"/>
      <c r="K9" s="25"/>
      <c r="M9" s="7"/>
      <c r="N9" s="7"/>
      <c r="O9" s="6"/>
    </row>
    <row r="10" spans="1:18" x14ac:dyDescent="0.2">
      <c r="A10" s="10" t="s">
        <v>18</v>
      </c>
      <c r="B10" s="11" t="s">
        <v>19</v>
      </c>
      <c r="C10" s="6">
        <f>C11+C14+C30+C52</f>
        <v>2627.9869999999996</v>
      </c>
      <c r="D10" s="6">
        <f t="shared" ref="D10:M10" si="4">D11+D14+D30+D52+D54</f>
        <v>3022.8500000000004</v>
      </c>
      <c r="E10" s="6">
        <f t="shared" si="4"/>
        <v>2882.0151000000005</v>
      </c>
      <c r="F10" s="6">
        <f t="shared" si="4"/>
        <v>-140.83489999999983</v>
      </c>
      <c r="G10" s="6">
        <f t="shared" si="4"/>
        <v>3132.4917500000001</v>
      </c>
      <c r="H10" s="6">
        <f t="shared" si="4"/>
        <v>0</v>
      </c>
      <c r="I10" s="6">
        <f t="shared" si="4"/>
        <v>0</v>
      </c>
      <c r="J10" s="6">
        <f t="shared" si="4"/>
        <v>0</v>
      </c>
      <c r="K10" s="6">
        <f t="shared" si="4"/>
        <v>0</v>
      </c>
      <c r="L10" s="6">
        <f t="shared" si="4"/>
        <v>0</v>
      </c>
      <c r="M10" s="6">
        <f t="shared" si="4"/>
        <v>3163.8584299999998</v>
      </c>
      <c r="N10" s="6">
        <f t="shared" si="2"/>
        <v>31.366679999999633</v>
      </c>
      <c r="O10" s="6">
        <f>O11+O14+O30+O52+O54</f>
        <v>3354.0849600000001</v>
      </c>
    </row>
    <row r="11" spans="1:18" ht="10.5" customHeight="1" x14ac:dyDescent="0.2">
      <c r="A11" s="10" t="s">
        <v>20</v>
      </c>
      <c r="B11" s="5" t="s">
        <v>21</v>
      </c>
      <c r="C11" s="12">
        <f>C12+C13</f>
        <v>138.32</v>
      </c>
      <c r="D11" s="12">
        <f>D12+D13</f>
        <v>188.2</v>
      </c>
      <c r="E11" s="12">
        <v>181</v>
      </c>
      <c r="F11" s="7">
        <f t="shared" si="1"/>
        <v>-7.1999999999999886</v>
      </c>
      <c r="G11" s="12">
        <v>199</v>
      </c>
      <c r="I11" s="25"/>
      <c r="J11" s="25"/>
      <c r="M11" s="8">
        <f>173+14.52</f>
        <v>187.52</v>
      </c>
      <c r="N11" s="7">
        <f t="shared" si="2"/>
        <v>-11.47999999999999</v>
      </c>
      <c r="O11" s="7">
        <v>199</v>
      </c>
      <c r="P11" s="1" t="s">
        <v>221</v>
      </c>
    </row>
    <row r="12" spans="1:18" ht="12.75" hidden="1" customHeight="1" x14ac:dyDescent="0.2">
      <c r="A12" s="10" t="s">
        <v>22</v>
      </c>
      <c r="B12" s="2" t="s">
        <v>23</v>
      </c>
      <c r="C12" s="8">
        <v>134.22</v>
      </c>
      <c r="D12" s="8">
        <f>14.85*12+2</f>
        <v>180.2</v>
      </c>
      <c r="E12" s="8">
        <f>28.83727+7.425+15.345*3+14.85+15.345*4+16.85+14.85</f>
        <v>190.22726999999998</v>
      </c>
      <c r="F12" s="7">
        <f t="shared" si="1"/>
        <v>10.027269999999987</v>
      </c>
      <c r="G12" s="8"/>
      <c r="M12" s="7"/>
      <c r="N12" s="7">
        <f t="shared" si="2"/>
        <v>0</v>
      </c>
      <c r="O12" s="2"/>
    </row>
    <row r="13" spans="1:18" ht="12.75" hidden="1" customHeight="1" x14ac:dyDescent="0.2">
      <c r="A13" s="10" t="s">
        <v>24</v>
      </c>
      <c r="B13" s="2" t="s">
        <v>25</v>
      </c>
      <c r="C13" s="8">
        <v>4.0999999999999996</v>
      </c>
      <c r="D13" s="8">
        <v>8</v>
      </c>
      <c r="E13" s="8">
        <f>2.2</f>
        <v>2.2000000000000002</v>
      </c>
      <c r="F13" s="7">
        <f t="shared" si="1"/>
        <v>-5.8</v>
      </c>
      <c r="G13" s="8"/>
      <c r="M13" s="7"/>
      <c r="N13" s="7">
        <f t="shared" si="2"/>
        <v>0</v>
      </c>
      <c r="O13" s="2"/>
    </row>
    <row r="14" spans="1:18" x14ac:dyDescent="0.2">
      <c r="A14" s="10" t="s">
        <v>26</v>
      </c>
      <c r="B14" s="5" t="s">
        <v>27</v>
      </c>
      <c r="C14" s="12">
        <f>SUM(C15:C28)</f>
        <v>606.60699999999997</v>
      </c>
      <c r="D14" s="12">
        <f>SUM(D15:D28)</f>
        <v>562.5</v>
      </c>
      <c r="E14" s="12">
        <f>SUM(E15:E28)</f>
        <v>298.26809000000003</v>
      </c>
      <c r="F14" s="7">
        <f t="shared" si="1"/>
        <v>-264.23190999999997</v>
      </c>
      <c r="G14" s="12">
        <f t="shared" ref="G14:M14" si="5">SUM(G15:G28)</f>
        <v>499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651.43264000000011</v>
      </c>
      <c r="N14" s="6">
        <f t="shared" si="2"/>
        <v>152.43264000000011</v>
      </c>
      <c r="O14" s="6">
        <f>SUM(O18:O29)</f>
        <v>620</v>
      </c>
    </row>
    <row r="15" spans="1:18" hidden="1" x14ac:dyDescent="0.2">
      <c r="A15" s="10" t="s">
        <v>28</v>
      </c>
      <c r="B15" s="2" t="s">
        <v>29</v>
      </c>
      <c r="C15" s="8"/>
      <c r="D15" s="8">
        <v>71</v>
      </c>
      <c r="E15" s="8">
        <v>71.286299999999997</v>
      </c>
      <c r="F15" s="7">
        <f t="shared" si="1"/>
        <v>0.28629999999999711</v>
      </c>
      <c r="G15" s="8"/>
      <c r="M15" s="7"/>
      <c r="N15" s="7">
        <f t="shared" si="2"/>
        <v>0</v>
      </c>
      <c r="O15" s="2"/>
    </row>
    <row r="16" spans="1:18" hidden="1" x14ac:dyDescent="0.2">
      <c r="A16" s="10" t="s">
        <v>30</v>
      </c>
      <c r="B16" s="2" t="s">
        <v>95</v>
      </c>
      <c r="C16" s="8">
        <v>7.6550000000000002</v>
      </c>
      <c r="D16" s="8">
        <v>1.5</v>
      </c>
      <c r="E16" s="8"/>
      <c r="F16" s="7">
        <f t="shared" si="1"/>
        <v>-1.5</v>
      </c>
      <c r="G16" s="8"/>
      <c r="M16" s="7"/>
      <c r="N16" s="7">
        <f t="shared" si="2"/>
        <v>0</v>
      </c>
      <c r="O16" s="2"/>
    </row>
    <row r="17" spans="1:17" ht="12.75" hidden="1" customHeight="1" x14ac:dyDescent="0.2">
      <c r="A17" s="10" t="s">
        <v>31</v>
      </c>
      <c r="B17" s="2" t="s">
        <v>32</v>
      </c>
      <c r="C17" s="8"/>
      <c r="D17" s="8">
        <v>0</v>
      </c>
      <c r="E17" s="8"/>
      <c r="F17" s="7">
        <f t="shared" si="1"/>
        <v>0</v>
      </c>
      <c r="G17" s="8"/>
      <c r="M17" s="6"/>
      <c r="N17" s="7"/>
      <c r="O17" s="2"/>
    </row>
    <row r="18" spans="1:17" x14ac:dyDescent="0.2">
      <c r="A18" s="10" t="s">
        <v>33</v>
      </c>
      <c r="B18" s="2" t="s">
        <v>34</v>
      </c>
      <c r="C18" s="8">
        <v>78</v>
      </c>
      <c r="D18" s="8">
        <v>52</v>
      </c>
      <c r="E18" s="8">
        <v>34.5</v>
      </c>
      <c r="F18" s="7">
        <f t="shared" si="1"/>
        <v>-17.5</v>
      </c>
      <c r="G18" s="8">
        <v>35</v>
      </c>
      <c r="M18" s="6">
        <v>35.055</v>
      </c>
      <c r="N18" s="7">
        <f t="shared" si="2"/>
        <v>5.4999999999999716E-2</v>
      </c>
      <c r="O18" s="2">
        <v>40</v>
      </c>
    </row>
    <row r="19" spans="1:17" x14ac:dyDescent="0.2">
      <c r="A19" s="10" t="s">
        <v>35</v>
      </c>
      <c r="B19" s="2" t="s">
        <v>96</v>
      </c>
      <c r="C19" s="8">
        <v>287.87200000000001</v>
      </c>
      <c r="D19" s="8">
        <v>300</v>
      </c>
      <c r="E19" s="8"/>
      <c r="F19" s="7">
        <f t="shared" si="1"/>
        <v>-300</v>
      </c>
      <c r="G19" s="8">
        <v>298</v>
      </c>
      <c r="M19" s="7">
        <v>300.67363999999998</v>
      </c>
      <c r="N19" s="7">
        <f t="shared" si="2"/>
        <v>2.6736399999999776</v>
      </c>
      <c r="O19" s="2"/>
    </row>
    <row r="20" spans="1:17" x14ac:dyDescent="0.2">
      <c r="A20" s="10"/>
      <c r="B20" s="2" t="s">
        <v>215</v>
      </c>
      <c r="C20" s="8"/>
      <c r="D20" s="8"/>
      <c r="E20" s="8"/>
      <c r="F20" s="7"/>
      <c r="G20" s="8"/>
      <c r="M20" s="6">
        <v>220</v>
      </c>
      <c r="N20" s="7"/>
      <c r="O20" s="2">
        <v>55</v>
      </c>
      <c r="Q20" s="1">
        <v>4860</v>
      </c>
    </row>
    <row r="21" spans="1:17" x14ac:dyDescent="0.2">
      <c r="A21" s="10" t="s">
        <v>36</v>
      </c>
      <c r="B21" s="2" t="s">
        <v>224</v>
      </c>
      <c r="C21" s="8">
        <v>174.8</v>
      </c>
      <c r="D21" s="8"/>
      <c r="E21" s="8">
        <f>11.3</f>
        <v>11.3</v>
      </c>
      <c r="F21" s="7">
        <f t="shared" si="1"/>
        <v>11.3</v>
      </c>
      <c r="G21" s="8"/>
      <c r="M21" s="6">
        <v>11.35</v>
      </c>
      <c r="N21" s="7">
        <f t="shared" si="2"/>
        <v>11.35</v>
      </c>
      <c r="O21" s="2">
        <v>3</v>
      </c>
    </row>
    <row r="22" spans="1:17" x14ac:dyDescent="0.2">
      <c r="A22" s="10" t="s">
        <v>38</v>
      </c>
      <c r="B22" s="2" t="s">
        <v>229</v>
      </c>
      <c r="C22" s="8">
        <v>15</v>
      </c>
      <c r="D22" s="8"/>
      <c r="E22" s="8">
        <v>1.9450000000000001</v>
      </c>
      <c r="F22" s="7">
        <f t="shared" si="1"/>
        <v>1.9450000000000001</v>
      </c>
      <c r="G22" s="8"/>
      <c r="M22" s="7"/>
      <c r="N22" s="7">
        <f t="shared" si="2"/>
        <v>0</v>
      </c>
      <c r="O22" s="2">
        <v>75</v>
      </c>
    </row>
    <row r="23" spans="1:17" x14ac:dyDescent="0.2">
      <c r="A23" s="10" t="s">
        <v>40</v>
      </c>
      <c r="B23" s="2" t="s">
        <v>170</v>
      </c>
      <c r="C23" s="8"/>
      <c r="D23" s="8">
        <v>15</v>
      </c>
      <c r="E23" s="8">
        <f>10.35+2.034</f>
        <v>12.384</v>
      </c>
      <c r="F23" s="7">
        <f t="shared" si="1"/>
        <v>-2.6159999999999997</v>
      </c>
      <c r="G23" s="8">
        <v>40</v>
      </c>
      <c r="M23" s="8">
        <f>9.196+2.798</f>
        <v>11.994</v>
      </c>
      <c r="N23" s="8">
        <f t="shared" si="2"/>
        <v>-28.006</v>
      </c>
      <c r="O23" s="40"/>
      <c r="P23" s="16"/>
      <c r="Q23" s="16"/>
    </row>
    <row r="24" spans="1:17" hidden="1" x14ac:dyDescent="0.2">
      <c r="A24" s="10" t="s">
        <v>42</v>
      </c>
      <c r="B24" s="2" t="s">
        <v>43</v>
      </c>
      <c r="C24" s="8"/>
      <c r="D24" s="8">
        <v>8</v>
      </c>
      <c r="E24" s="8">
        <f>2.899+0.9+4.03</f>
        <v>7.8290000000000006</v>
      </c>
      <c r="F24" s="7">
        <f t="shared" si="1"/>
        <v>-0.17099999999999937</v>
      </c>
      <c r="G24" s="8"/>
      <c r="M24" s="8"/>
      <c r="N24" s="8">
        <f t="shared" si="2"/>
        <v>0</v>
      </c>
      <c r="O24" s="40"/>
      <c r="P24" s="16"/>
      <c r="Q24" s="16"/>
    </row>
    <row r="25" spans="1:17" x14ac:dyDescent="0.2">
      <c r="A25" s="10" t="s">
        <v>44</v>
      </c>
      <c r="B25" s="2" t="s">
        <v>208</v>
      </c>
      <c r="C25" s="8"/>
      <c r="D25" s="8">
        <v>100</v>
      </c>
      <c r="E25" s="8">
        <f>99.12124+17.8</f>
        <v>116.92124</v>
      </c>
      <c r="F25" s="7">
        <f t="shared" si="1"/>
        <v>16.921239999999997</v>
      </c>
      <c r="G25" s="8">
        <v>50</v>
      </c>
      <c r="M25" s="12">
        <f>54.3+4.86</f>
        <v>59.16</v>
      </c>
      <c r="N25" s="8">
        <f t="shared" si="2"/>
        <v>9.1599999999999966</v>
      </c>
      <c r="O25" s="40">
        <v>67</v>
      </c>
      <c r="P25" s="16" t="s">
        <v>228</v>
      </c>
      <c r="Q25" s="16"/>
    </row>
    <row r="26" spans="1:17" x14ac:dyDescent="0.2">
      <c r="A26" s="10" t="s">
        <v>45</v>
      </c>
      <c r="B26" s="2" t="s">
        <v>149</v>
      </c>
      <c r="C26" s="8"/>
      <c r="D26" s="8"/>
      <c r="E26" s="8"/>
      <c r="F26" s="7">
        <f t="shared" si="1"/>
        <v>0</v>
      </c>
      <c r="G26" s="8">
        <v>76</v>
      </c>
      <c r="M26" s="8">
        <f>11+2.2</f>
        <v>13.2</v>
      </c>
      <c r="N26" s="8">
        <f t="shared" si="2"/>
        <v>-62.8</v>
      </c>
      <c r="O26" s="40"/>
      <c r="P26" s="16"/>
      <c r="Q26" s="16"/>
    </row>
    <row r="27" spans="1:17" hidden="1" x14ac:dyDescent="0.2">
      <c r="A27" s="10" t="s">
        <v>113</v>
      </c>
      <c r="B27" s="2" t="s">
        <v>124</v>
      </c>
      <c r="C27" s="8">
        <f>2.4+1.5+19.68+6.6+11.1+2</f>
        <v>43.28</v>
      </c>
      <c r="D27" s="8">
        <v>15</v>
      </c>
      <c r="E27" s="8">
        <f>28.21895</f>
        <v>28.21895</v>
      </c>
      <c r="F27" s="7">
        <f t="shared" si="1"/>
        <v>13.21895</v>
      </c>
      <c r="G27" s="8"/>
      <c r="M27" s="8"/>
      <c r="N27" s="8">
        <f t="shared" si="2"/>
        <v>0</v>
      </c>
      <c r="O27" s="40"/>
      <c r="P27" s="16"/>
      <c r="Q27" s="16"/>
    </row>
    <row r="28" spans="1:17" ht="25.5" x14ac:dyDescent="0.2">
      <c r="A28" s="10"/>
      <c r="B28" s="3" t="s">
        <v>244</v>
      </c>
      <c r="C28" s="8"/>
      <c r="D28" s="8"/>
      <c r="E28" s="8">
        <f>1.954+4.03+5+2.8996</f>
        <v>13.883599999999999</v>
      </c>
      <c r="F28" s="7">
        <f t="shared" si="1"/>
        <v>13.883599999999999</v>
      </c>
      <c r="G28" s="8"/>
      <c r="M28" s="8"/>
      <c r="N28" s="8">
        <f t="shared" si="2"/>
        <v>0</v>
      </c>
      <c r="O28" s="40">
        <v>340</v>
      </c>
      <c r="P28" s="16"/>
      <c r="Q28" s="16"/>
    </row>
    <row r="29" spans="1:17" x14ac:dyDescent="0.2">
      <c r="A29" s="10"/>
      <c r="B29" s="2" t="s">
        <v>217</v>
      </c>
      <c r="C29" s="8"/>
      <c r="D29" s="8"/>
      <c r="E29" s="8"/>
      <c r="F29" s="7"/>
      <c r="G29" s="8"/>
      <c r="M29" s="7"/>
      <c r="N29" s="7"/>
      <c r="O29" s="2">
        <v>40</v>
      </c>
    </row>
    <row r="30" spans="1:17" x14ac:dyDescent="0.2">
      <c r="A30" s="10" t="s">
        <v>46</v>
      </c>
      <c r="B30" s="5" t="s">
        <v>47</v>
      </c>
      <c r="C30" s="12">
        <f>SUM(C31:C51)</f>
        <v>1701.0599999999997</v>
      </c>
      <c r="D30" s="12">
        <f>SUM(D31:D51)</f>
        <v>1990.15</v>
      </c>
      <c r="E30" s="12">
        <f>SUM(E31:E51)</f>
        <v>1956.9982100000002</v>
      </c>
      <c r="F30" s="7">
        <f t="shared" si="1"/>
        <v>-33.151789999999892</v>
      </c>
      <c r="G30" s="12">
        <f t="shared" ref="G30:M30" si="6">SUM(G31:G51)</f>
        <v>2184.5747499999998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2048.4957899999999</v>
      </c>
      <c r="N30" s="6">
        <f t="shared" si="2"/>
        <v>-136.07895999999982</v>
      </c>
      <c r="O30" s="6">
        <f>SUM(O31:O51)</f>
        <v>2240.0849600000001</v>
      </c>
    </row>
    <row r="31" spans="1:17" x14ac:dyDescent="0.2">
      <c r="A31" s="10" t="s">
        <v>48</v>
      </c>
      <c r="B31" s="2" t="s">
        <v>49</v>
      </c>
      <c r="C31" s="8">
        <v>1030.9000000000001</v>
      </c>
      <c r="D31" s="8">
        <f>[1]ШР!F15/1000</f>
        <v>1167.25</v>
      </c>
      <c r="E31" s="8">
        <f>1065.099+28</f>
        <v>1093.0989999999999</v>
      </c>
      <c r="F31" s="7">
        <f t="shared" si="1"/>
        <v>-74.151000000000067</v>
      </c>
      <c r="G31" s="8">
        <f>' ШР 16'!H15/1000</f>
        <v>1207.5999999999999</v>
      </c>
      <c r="H31" s="16"/>
      <c r="I31" s="16"/>
      <c r="J31" s="16"/>
      <c r="K31" s="16"/>
      <c r="L31" s="16"/>
      <c r="M31" s="8">
        <v>1204.6885</v>
      </c>
      <c r="N31" s="8">
        <f t="shared" si="2"/>
        <v>-2.9114999999999327</v>
      </c>
      <c r="O31" s="8">
        <f>('ШР 17'!C15+'ШР 17'!D15)*12/1000+'ШР 17'!G15/1000</f>
        <v>1354.1679999999999</v>
      </c>
    </row>
    <row r="32" spans="1:17" x14ac:dyDescent="0.2">
      <c r="A32" s="10" t="s">
        <v>50</v>
      </c>
      <c r="B32" s="2" t="s">
        <v>51</v>
      </c>
      <c r="C32" s="8">
        <v>206.1</v>
      </c>
      <c r="D32" s="8">
        <v>240</v>
      </c>
      <c r="E32" s="8">
        <f>232.5+14.50775</f>
        <v>247.00774999999999</v>
      </c>
      <c r="F32" s="7">
        <f t="shared" si="1"/>
        <v>7.0077499999999873</v>
      </c>
      <c r="G32" s="8">
        <f>E32</f>
        <v>247.00774999999999</v>
      </c>
      <c r="H32" s="16"/>
      <c r="I32" s="16"/>
      <c r="J32" s="16"/>
      <c r="K32" s="16"/>
      <c r="L32" s="16"/>
      <c r="M32" s="8">
        <v>247.4</v>
      </c>
      <c r="N32" s="8">
        <f t="shared" si="2"/>
        <v>0.39225000000001842</v>
      </c>
      <c r="O32" s="8">
        <f>O31*22/100</f>
        <v>297.91695999999996</v>
      </c>
    </row>
    <row r="33" spans="1:17" x14ac:dyDescent="0.2">
      <c r="A33" s="10" t="s">
        <v>52</v>
      </c>
      <c r="B33" s="2" t="s">
        <v>53</v>
      </c>
      <c r="C33" s="8">
        <v>14.4</v>
      </c>
      <c r="D33" s="8">
        <v>14.4</v>
      </c>
      <c r="E33" s="8">
        <f>1.2*12-0.3</f>
        <v>14.099999999999998</v>
      </c>
      <c r="F33" s="7">
        <f t="shared" si="1"/>
        <v>-0.30000000000000249</v>
      </c>
      <c r="G33" s="8">
        <f>E33</f>
        <v>14.099999999999998</v>
      </c>
      <c r="H33" s="16"/>
      <c r="I33" s="16"/>
      <c r="J33" s="16"/>
      <c r="K33" s="16"/>
      <c r="L33" s="16"/>
      <c r="M33" s="12">
        <v>14</v>
      </c>
      <c r="N33" s="8">
        <f t="shared" si="2"/>
        <v>-9.9999999999997868E-2</v>
      </c>
      <c r="O33" s="40">
        <v>14</v>
      </c>
    </row>
    <row r="34" spans="1:17" x14ac:dyDescent="0.2">
      <c r="A34" s="10" t="s">
        <v>55</v>
      </c>
      <c r="B34" s="2" t="s">
        <v>56</v>
      </c>
      <c r="C34" s="8"/>
      <c r="D34" s="8">
        <f>10*8</f>
        <v>80</v>
      </c>
      <c r="E34" s="8">
        <v>50</v>
      </c>
      <c r="F34" s="7">
        <f t="shared" si="1"/>
        <v>-30</v>
      </c>
      <c r="G34" s="8">
        <f>120+10</f>
        <v>130</v>
      </c>
      <c r="H34" s="16"/>
      <c r="I34" s="16"/>
      <c r="J34" s="16"/>
      <c r="K34" s="16"/>
      <c r="L34" s="16"/>
      <c r="M34" s="12">
        <v>120</v>
      </c>
      <c r="N34" s="8">
        <f t="shared" si="2"/>
        <v>-10</v>
      </c>
      <c r="O34" s="40">
        <v>120</v>
      </c>
    </row>
    <row r="35" spans="1:17" hidden="1" x14ac:dyDescent="0.2">
      <c r="A35" s="10" t="s">
        <v>57</v>
      </c>
      <c r="B35" s="2" t="s">
        <v>89</v>
      </c>
      <c r="C35" s="8"/>
      <c r="D35" s="8"/>
      <c r="E35" s="8">
        <f>12+2.94</f>
        <v>14.94</v>
      </c>
      <c r="F35" s="7">
        <f t="shared" si="1"/>
        <v>14.94</v>
      </c>
      <c r="G35" s="8"/>
      <c r="H35" s="16"/>
      <c r="I35" s="16"/>
      <c r="J35" s="16"/>
      <c r="K35" s="16"/>
      <c r="L35" s="16"/>
      <c r="M35" s="8"/>
      <c r="N35" s="8">
        <f t="shared" si="2"/>
        <v>0</v>
      </c>
      <c r="O35" s="40"/>
    </row>
    <row r="36" spans="1:17" x14ac:dyDescent="0.2">
      <c r="A36" s="10" t="s">
        <v>59</v>
      </c>
      <c r="B36" s="2" t="s">
        <v>58</v>
      </c>
      <c r="C36" s="8"/>
      <c r="D36" s="8">
        <v>5</v>
      </c>
      <c r="E36" s="8">
        <f>7+1.6</f>
        <v>8.6</v>
      </c>
      <c r="F36" s="7">
        <f t="shared" si="1"/>
        <v>3.5999999999999996</v>
      </c>
      <c r="G36" s="8">
        <v>2.5</v>
      </c>
      <c r="H36" s="16"/>
      <c r="I36" s="16"/>
      <c r="J36" s="16"/>
      <c r="K36" s="16"/>
      <c r="L36" s="16"/>
      <c r="M36" s="12">
        <v>2.5</v>
      </c>
      <c r="N36" s="8">
        <f t="shared" si="2"/>
        <v>0</v>
      </c>
      <c r="O36" s="8">
        <f>M36</f>
        <v>2.5</v>
      </c>
    </row>
    <row r="37" spans="1:17" x14ac:dyDescent="0.2">
      <c r="A37" s="10" t="s">
        <v>61</v>
      </c>
      <c r="B37" s="2" t="s">
        <v>236</v>
      </c>
      <c r="C37" s="8">
        <v>36.5</v>
      </c>
      <c r="D37" s="8">
        <v>37</v>
      </c>
      <c r="E37" s="8">
        <v>30</v>
      </c>
      <c r="F37" s="7">
        <f t="shared" si="1"/>
        <v>-7</v>
      </c>
      <c r="G37" s="8">
        <f>E37</f>
        <v>30</v>
      </c>
      <c r="H37" s="16"/>
      <c r="I37" s="16"/>
      <c r="J37" s="16"/>
      <c r="K37" s="16"/>
      <c r="L37" s="16"/>
      <c r="M37" s="12">
        <f>2.5*10+1.5*2</f>
        <v>28</v>
      </c>
      <c r="N37" s="8">
        <f t="shared" si="2"/>
        <v>-2</v>
      </c>
      <c r="O37" s="40">
        <f>1.5*12</f>
        <v>18</v>
      </c>
    </row>
    <row r="38" spans="1:17" ht="25.5" x14ac:dyDescent="0.2">
      <c r="A38" s="10" t="s">
        <v>63</v>
      </c>
      <c r="B38" s="3" t="s">
        <v>62</v>
      </c>
      <c r="C38" s="14">
        <v>17.05</v>
      </c>
      <c r="D38" s="8">
        <v>30</v>
      </c>
      <c r="E38" s="8">
        <f>5.39+30.93+2.424+3.09</f>
        <v>41.834000000000003</v>
      </c>
      <c r="F38" s="7">
        <f t="shared" si="1"/>
        <v>11.834000000000003</v>
      </c>
      <c r="G38" s="8">
        <v>35</v>
      </c>
      <c r="H38" s="16"/>
      <c r="I38" s="16"/>
      <c r="J38" s="16"/>
      <c r="K38" s="16"/>
      <c r="L38" s="16"/>
      <c r="M38" s="12">
        <f>17.68963+0.5</f>
        <v>18.189630000000001</v>
      </c>
      <c r="N38" s="8">
        <f t="shared" si="2"/>
        <v>-16.810369999999999</v>
      </c>
      <c r="O38" s="40">
        <v>18</v>
      </c>
    </row>
    <row r="39" spans="1:17" x14ac:dyDescent="0.2">
      <c r="A39" s="10" t="s">
        <v>65</v>
      </c>
      <c r="B39" s="3" t="s">
        <v>115</v>
      </c>
      <c r="C39" s="14"/>
      <c r="D39" s="8"/>
      <c r="E39" s="8"/>
      <c r="F39" s="7">
        <f t="shared" si="1"/>
        <v>0</v>
      </c>
      <c r="G39" s="8">
        <v>40.299999999999997</v>
      </c>
      <c r="H39" s="16"/>
      <c r="I39" s="16"/>
      <c r="J39" s="16"/>
      <c r="K39" s="16"/>
      <c r="L39" s="16"/>
      <c r="M39" s="12">
        <f>40.38315+9.2+1.1</f>
        <v>50.683150000000005</v>
      </c>
      <c r="N39" s="8">
        <f t="shared" si="2"/>
        <v>10.383150000000008</v>
      </c>
      <c r="O39" s="40">
        <v>30</v>
      </c>
    </row>
    <row r="40" spans="1:17" x14ac:dyDescent="0.2">
      <c r="A40" s="10" t="s">
        <v>67</v>
      </c>
      <c r="B40" s="3" t="s">
        <v>94</v>
      </c>
      <c r="C40" s="14"/>
      <c r="D40" s="8"/>
      <c r="E40" s="8"/>
      <c r="F40" s="7">
        <f t="shared" si="1"/>
        <v>0</v>
      </c>
      <c r="G40" s="8">
        <v>40</v>
      </c>
      <c r="H40" s="16"/>
      <c r="I40" s="16"/>
      <c r="J40" s="16"/>
      <c r="K40" s="16"/>
      <c r="L40" s="16"/>
      <c r="M40" s="12">
        <f>44</f>
        <v>44</v>
      </c>
      <c r="N40" s="8">
        <f t="shared" si="2"/>
        <v>4</v>
      </c>
      <c r="O40" s="40"/>
    </row>
    <row r="41" spans="1:17" x14ac:dyDescent="0.2">
      <c r="A41" s="10" t="s">
        <v>193</v>
      </c>
      <c r="B41" s="2" t="s">
        <v>64</v>
      </c>
      <c r="C41" s="8">
        <v>129.5</v>
      </c>
      <c r="D41" s="8">
        <v>130</v>
      </c>
      <c r="E41" s="8">
        <v>122.931</v>
      </c>
      <c r="F41" s="7">
        <f t="shared" si="1"/>
        <v>-7.0690000000000026</v>
      </c>
      <c r="G41" s="8">
        <f>120-30</f>
        <v>90</v>
      </c>
      <c r="H41" s="16"/>
      <c r="I41" s="16"/>
      <c r="J41" s="16"/>
      <c r="K41" s="16"/>
      <c r="L41" s="16"/>
      <c r="M41" s="12">
        <f>107.27526+6.66468-30</f>
        <v>83.939940000000007</v>
      </c>
      <c r="N41" s="8">
        <f t="shared" si="2"/>
        <v>-6.0600599999999929</v>
      </c>
      <c r="O41" s="40">
        <v>90</v>
      </c>
      <c r="P41" s="1" t="s">
        <v>221</v>
      </c>
    </row>
    <row r="42" spans="1:17" x14ac:dyDescent="0.2">
      <c r="A42" s="10" t="s">
        <v>70</v>
      </c>
      <c r="B42" s="2" t="s">
        <v>112</v>
      </c>
      <c r="C42" s="8"/>
      <c r="D42" s="8"/>
      <c r="E42" s="8"/>
      <c r="F42" s="7">
        <f t="shared" si="1"/>
        <v>0</v>
      </c>
      <c r="G42" s="8">
        <v>45</v>
      </c>
      <c r="H42" s="16"/>
      <c r="I42" s="16"/>
      <c r="J42" s="16"/>
      <c r="K42" s="16"/>
      <c r="L42" s="16"/>
      <c r="M42" s="8"/>
      <c r="N42" s="8">
        <f t="shared" si="2"/>
        <v>-45</v>
      </c>
      <c r="O42" s="58">
        <v>0</v>
      </c>
    </row>
    <row r="43" spans="1:17" x14ac:dyDescent="0.2">
      <c r="A43" s="10" t="s">
        <v>71</v>
      </c>
      <c r="B43" s="2" t="s">
        <v>66</v>
      </c>
      <c r="C43" s="8">
        <v>14.99</v>
      </c>
      <c r="D43" s="8">
        <v>15</v>
      </c>
      <c r="E43" s="8">
        <v>5</v>
      </c>
      <c r="F43" s="7">
        <f t="shared" si="1"/>
        <v>-10</v>
      </c>
      <c r="G43" s="8">
        <f>5</f>
        <v>5</v>
      </c>
      <c r="H43" s="16"/>
      <c r="I43" s="16"/>
      <c r="J43" s="16"/>
      <c r="K43" s="16"/>
      <c r="L43" s="16"/>
      <c r="M43" s="8">
        <v>11.21078</v>
      </c>
      <c r="N43" s="8">
        <f t="shared" si="2"/>
        <v>6.2107799999999997</v>
      </c>
      <c r="O43" s="40">
        <v>15</v>
      </c>
      <c r="P43" s="1" t="s">
        <v>219</v>
      </c>
    </row>
    <row r="44" spans="1:17" x14ac:dyDescent="0.2">
      <c r="A44" s="10" t="s">
        <v>72</v>
      </c>
      <c r="B44" s="2" t="s">
        <v>68</v>
      </c>
      <c r="C44" s="8">
        <v>68.599999999999994</v>
      </c>
      <c r="D44" s="8">
        <v>55</v>
      </c>
      <c r="E44" s="8">
        <v>113.7</v>
      </c>
      <c r="F44" s="7">
        <f t="shared" si="1"/>
        <v>58.7</v>
      </c>
      <c r="G44" s="8">
        <f>E44</f>
        <v>113.7</v>
      </c>
      <c r="H44" s="16"/>
      <c r="I44" s="16"/>
      <c r="J44" s="16"/>
      <c r="K44" s="16"/>
      <c r="L44" s="16"/>
      <c r="M44" s="8">
        <v>123</v>
      </c>
      <c r="N44" s="8">
        <f t="shared" si="2"/>
        <v>9.2999999999999972</v>
      </c>
      <c r="O44" s="40">
        <v>130</v>
      </c>
      <c r="P44" s="1" t="s">
        <v>221</v>
      </c>
    </row>
    <row r="45" spans="1:17" x14ac:dyDescent="0.2">
      <c r="A45" s="10" t="s">
        <v>73</v>
      </c>
      <c r="B45" s="2" t="s">
        <v>227</v>
      </c>
      <c r="C45" s="8">
        <f>21.72+4.4</f>
        <v>26.119999999999997</v>
      </c>
      <c r="D45" s="8">
        <v>46</v>
      </c>
      <c r="E45" s="8">
        <f>0.94678+0.4+0.71622+0.982+26.263+3.9+2.8+0.88+0.45+0.9899+0.8112</f>
        <v>39.139099999999999</v>
      </c>
      <c r="F45" s="7">
        <f t="shared" si="1"/>
        <v>-6.8609000000000009</v>
      </c>
      <c r="G45" s="8">
        <v>15</v>
      </c>
      <c r="H45" s="16"/>
      <c r="I45" s="16"/>
      <c r="J45" s="16"/>
      <c r="K45" s="16"/>
      <c r="L45" s="16"/>
      <c r="M45" s="12">
        <f>2.5+4.7+2.59474</f>
        <v>9.7947400000000009</v>
      </c>
      <c r="N45" s="8">
        <f t="shared" si="2"/>
        <v>-5.2052599999999991</v>
      </c>
      <c r="O45" s="40">
        <v>12</v>
      </c>
    </row>
    <row r="46" spans="1:17" x14ac:dyDescent="0.2">
      <c r="A46" s="10" t="s">
        <v>74</v>
      </c>
      <c r="B46" s="2" t="s">
        <v>99</v>
      </c>
      <c r="C46" s="8">
        <v>6</v>
      </c>
      <c r="D46" s="8">
        <v>7</v>
      </c>
      <c r="E46" s="8">
        <f>2.961+0.669+2.941</f>
        <v>6.5709999999999997</v>
      </c>
      <c r="F46" s="7">
        <f t="shared" si="1"/>
        <v>-0.42900000000000027</v>
      </c>
      <c r="G46" s="8">
        <f>E46</f>
        <v>6.5709999999999997</v>
      </c>
      <c r="H46" s="16"/>
      <c r="I46" s="16"/>
      <c r="J46" s="16"/>
      <c r="K46" s="16"/>
      <c r="L46" s="16"/>
      <c r="M46" s="12">
        <f>5.38129</f>
        <v>5.3812899999999999</v>
      </c>
      <c r="N46" s="8">
        <f t="shared" si="2"/>
        <v>-1.1897099999999998</v>
      </c>
      <c r="O46" s="40">
        <v>7</v>
      </c>
      <c r="Q46" s="1" t="s">
        <v>220</v>
      </c>
    </row>
    <row r="47" spans="1:17" x14ac:dyDescent="0.2">
      <c r="A47" s="10" t="s">
        <v>194</v>
      </c>
      <c r="B47" s="2" t="s">
        <v>226</v>
      </c>
      <c r="C47" s="8">
        <f>3.3+3.6+0.7</f>
        <v>7.6000000000000005</v>
      </c>
      <c r="D47" s="8">
        <f>4+7</f>
        <v>11</v>
      </c>
      <c r="E47" s="8">
        <f>3.337+6+0.522+0.737+0.2</f>
        <v>10.795999999999999</v>
      </c>
      <c r="F47" s="7">
        <f t="shared" si="1"/>
        <v>-0.20400000000000063</v>
      </c>
      <c r="G47" s="8">
        <f>E47</f>
        <v>10.795999999999999</v>
      </c>
      <c r="H47" s="16"/>
      <c r="I47" s="16"/>
      <c r="J47" s="16"/>
      <c r="K47" s="16"/>
      <c r="L47" s="16"/>
      <c r="M47" s="12">
        <f>7.25</f>
        <v>7.25</v>
      </c>
      <c r="N47" s="8">
        <f t="shared" si="2"/>
        <v>-3.5459999999999994</v>
      </c>
      <c r="O47" s="40">
        <v>7</v>
      </c>
    </row>
    <row r="48" spans="1:17" x14ac:dyDescent="0.2">
      <c r="A48" s="10" t="s">
        <v>195</v>
      </c>
      <c r="B48" s="2" t="s">
        <v>75</v>
      </c>
      <c r="C48" s="8">
        <v>29.8</v>
      </c>
      <c r="D48" s="8">
        <v>31.5</v>
      </c>
      <c r="E48" s="8">
        <v>31.644359999999999</v>
      </c>
      <c r="F48" s="7">
        <f t="shared" si="1"/>
        <v>0.14435999999999893</v>
      </c>
      <c r="G48" s="8">
        <v>35</v>
      </c>
      <c r="H48" s="16"/>
      <c r="I48" s="16"/>
      <c r="J48" s="16"/>
      <c r="K48" s="16"/>
      <c r="L48" s="16"/>
      <c r="M48" s="12">
        <v>32.26876</v>
      </c>
      <c r="N48" s="8">
        <f t="shared" si="2"/>
        <v>-2.7312399999999997</v>
      </c>
      <c r="O48" s="40">
        <v>35</v>
      </c>
    </row>
    <row r="49" spans="1:18" hidden="1" x14ac:dyDescent="0.2">
      <c r="A49" s="10" t="s">
        <v>196</v>
      </c>
      <c r="B49" s="2" t="s">
        <v>122</v>
      </c>
      <c r="C49" s="8"/>
      <c r="D49" s="8"/>
      <c r="E49" s="8">
        <v>4.4000000000000004</v>
      </c>
      <c r="F49" s="7">
        <f t="shared" si="1"/>
        <v>4.4000000000000004</v>
      </c>
      <c r="G49" s="8"/>
      <c r="H49" s="16"/>
      <c r="I49" s="16"/>
      <c r="J49" s="16"/>
      <c r="K49" s="16"/>
      <c r="L49" s="16"/>
      <c r="M49" s="8"/>
      <c r="N49" s="8">
        <f t="shared" si="2"/>
        <v>0</v>
      </c>
      <c r="O49" s="40"/>
    </row>
    <row r="50" spans="1:18" ht="13.5" customHeight="1" x14ac:dyDescent="0.2">
      <c r="A50" s="10" t="s">
        <v>197</v>
      </c>
      <c r="B50" s="2" t="s">
        <v>209</v>
      </c>
      <c r="C50" s="8">
        <v>42.2</v>
      </c>
      <c r="D50" s="8">
        <v>51</v>
      </c>
      <c r="E50" s="8">
        <f>62.1-2.424-3.09</f>
        <v>56.585999999999999</v>
      </c>
      <c r="F50" s="7">
        <f t="shared" si="1"/>
        <v>5.5859999999999985</v>
      </c>
      <c r="G50" s="8">
        <v>57</v>
      </c>
      <c r="H50" s="9"/>
      <c r="I50" s="16"/>
      <c r="J50" s="16"/>
      <c r="K50" s="16"/>
      <c r="L50" s="16"/>
      <c r="M50" s="13">
        <f>3.138+3.78+4.365</f>
        <v>11.282999999999999</v>
      </c>
      <c r="N50" s="8">
        <f t="shared" si="2"/>
        <v>-45.716999999999999</v>
      </c>
      <c r="O50" s="40">
        <f>15+5+1+2+3.5+3</f>
        <v>29.5</v>
      </c>
      <c r="P50" s="1">
        <f>3.138+0.38</f>
        <v>3.5179999999999998</v>
      </c>
      <c r="Q50" s="1">
        <f>4.365</f>
        <v>4.3650000000000002</v>
      </c>
      <c r="R50" s="1">
        <v>3.78</v>
      </c>
    </row>
    <row r="51" spans="1:18" customFormat="1" ht="15" x14ac:dyDescent="0.25">
      <c r="A51" s="10" t="s">
        <v>198</v>
      </c>
      <c r="B51" s="15" t="s">
        <v>114</v>
      </c>
      <c r="C51" s="8">
        <v>71.3</v>
      </c>
      <c r="D51" s="8">
        <v>70</v>
      </c>
      <c r="E51" s="8">
        <f>64.35+2.3</f>
        <v>66.649999999999991</v>
      </c>
      <c r="F51" s="7">
        <f t="shared" si="1"/>
        <v>-3.3500000000000085</v>
      </c>
      <c r="G51" s="8">
        <v>60</v>
      </c>
      <c r="H51" s="48"/>
      <c r="I51" s="48"/>
      <c r="J51" s="48"/>
      <c r="K51" s="48"/>
      <c r="L51" s="48"/>
      <c r="M51" s="49">
        <f>8.906+0.6+6.5+18.9</f>
        <v>34.905999999999999</v>
      </c>
      <c r="N51" s="8">
        <f t="shared" si="2"/>
        <v>-25.094000000000001</v>
      </c>
      <c r="O51" s="50">
        <v>60</v>
      </c>
      <c r="P51" t="s">
        <v>222</v>
      </c>
      <c r="Q51" t="s">
        <v>223</v>
      </c>
      <c r="R51" t="s">
        <v>225</v>
      </c>
    </row>
    <row r="52" spans="1:18" x14ac:dyDescent="0.2">
      <c r="A52" s="10" t="s">
        <v>199</v>
      </c>
      <c r="B52" s="5" t="s">
        <v>79</v>
      </c>
      <c r="C52" s="12">
        <f>C53</f>
        <v>182</v>
      </c>
      <c r="D52" s="12">
        <f t="shared" ref="D52:M52" si="7">D53</f>
        <v>182</v>
      </c>
      <c r="E52" s="12">
        <f t="shared" si="7"/>
        <v>181.202</v>
      </c>
      <c r="F52" s="7">
        <f t="shared" si="1"/>
        <v>-0.79800000000000182</v>
      </c>
      <c r="G52" s="12">
        <f t="shared" si="7"/>
        <v>221.202</v>
      </c>
      <c r="H52" s="12">
        <f t="shared" si="7"/>
        <v>0</v>
      </c>
      <c r="I52" s="12">
        <f t="shared" si="7"/>
        <v>0</v>
      </c>
      <c r="J52" s="12">
        <f t="shared" si="7"/>
        <v>0</v>
      </c>
      <c r="K52" s="12">
        <f t="shared" si="7"/>
        <v>0</v>
      </c>
      <c r="L52" s="12">
        <f t="shared" si="7"/>
        <v>0</v>
      </c>
      <c r="M52" s="12">
        <f t="shared" si="7"/>
        <v>247.41</v>
      </c>
      <c r="N52" s="12">
        <f t="shared" si="2"/>
        <v>26.207999999999998</v>
      </c>
      <c r="O52" s="12">
        <f>O53</f>
        <v>295</v>
      </c>
    </row>
    <row r="53" spans="1:18" x14ac:dyDescent="0.2">
      <c r="A53" s="10" t="s">
        <v>200</v>
      </c>
      <c r="B53" s="2" t="s">
        <v>81</v>
      </c>
      <c r="C53" s="8">
        <v>182</v>
      </c>
      <c r="D53" s="8">
        <v>182</v>
      </c>
      <c r="E53" s="8">
        <f>172.234+8.968</f>
        <v>181.202</v>
      </c>
      <c r="F53" s="7">
        <f t="shared" si="1"/>
        <v>-0.79800000000000182</v>
      </c>
      <c r="G53" s="12">
        <f>E53+2+38</f>
        <v>221.202</v>
      </c>
      <c r="H53" s="16"/>
      <c r="I53" s="16"/>
      <c r="J53" s="16"/>
      <c r="K53" s="16"/>
      <c r="L53" s="16"/>
      <c r="M53" s="8">
        <f>193.059+14.471+29+8.88+2</f>
        <v>247.41</v>
      </c>
      <c r="N53" s="8">
        <f t="shared" si="2"/>
        <v>26.207999999999998</v>
      </c>
      <c r="O53" s="8">
        <v>295</v>
      </c>
    </row>
    <row r="54" spans="1:18" customFormat="1" ht="15.75" x14ac:dyDescent="0.25">
      <c r="A54" s="10" t="s">
        <v>82</v>
      </c>
      <c r="B54" s="24" t="s">
        <v>87</v>
      </c>
      <c r="C54" s="8"/>
      <c r="D54" s="12">
        <v>100</v>
      </c>
      <c r="E54" s="12">
        <f>E55+E56</f>
        <v>264.54680000000002</v>
      </c>
      <c r="F54" s="7">
        <f t="shared" si="1"/>
        <v>164.54680000000002</v>
      </c>
      <c r="G54" s="12">
        <f>G55+G56</f>
        <v>28.715</v>
      </c>
      <c r="H54" s="12">
        <f t="shared" ref="H54:M54" si="8">H55+H56</f>
        <v>0</v>
      </c>
      <c r="I54" s="12">
        <f t="shared" si="8"/>
        <v>0</v>
      </c>
      <c r="J54" s="12">
        <f t="shared" si="8"/>
        <v>0</v>
      </c>
      <c r="K54" s="12">
        <f t="shared" si="8"/>
        <v>0</v>
      </c>
      <c r="L54" s="12">
        <f t="shared" si="8"/>
        <v>0</v>
      </c>
      <c r="M54" s="12">
        <f t="shared" si="8"/>
        <v>29</v>
      </c>
      <c r="N54" s="6">
        <f t="shared" si="2"/>
        <v>0.28500000000000014</v>
      </c>
      <c r="O54" s="18"/>
      <c r="Q54" s="43"/>
    </row>
    <row r="55" spans="1:18" customFormat="1" ht="12.75" customHeight="1" x14ac:dyDescent="0.25">
      <c r="A55" s="10"/>
      <c r="B55" s="15" t="s">
        <v>88</v>
      </c>
      <c r="C55" s="8"/>
      <c r="D55" s="8"/>
      <c r="E55" s="8">
        <f>3.5+8+8.3968+26+128.3+75</f>
        <v>249.1968</v>
      </c>
      <c r="F55" s="7">
        <f t="shared" si="1"/>
        <v>249.1968</v>
      </c>
      <c r="G55" s="8">
        <v>28.715</v>
      </c>
      <c r="M55" s="21">
        <v>29</v>
      </c>
      <c r="N55" s="7">
        <f t="shared" si="2"/>
        <v>0.28500000000000014</v>
      </c>
      <c r="O55" s="20"/>
    </row>
    <row r="56" spans="1:18" customFormat="1" ht="12.75" hidden="1" customHeight="1" x14ac:dyDescent="0.25">
      <c r="A56" s="2"/>
      <c r="B56" s="2" t="s">
        <v>111</v>
      </c>
      <c r="C56" s="8"/>
      <c r="D56" s="8"/>
      <c r="E56" s="8">
        <v>15.35</v>
      </c>
      <c r="F56" s="7">
        <f t="shared" si="1"/>
        <v>15.35</v>
      </c>
      <c r="G56" s="8"/>
      <c r="M56" s="21"/>
      <c r="N56" s="7">
        <f t="shared" si="2"/>
        <v>0</v>
      </c>
      <c r="O56" s="20"/>
    </row>
    <row r="57" spans="1:18" x14ac:dyDescent="0.2">
      <c r="A57" s="10"/>
      <c r="B57" s="37" t="s">
        <v>169</v>
      </c>
      <c r="C57" s="6">
        <f>C3-C10</f>
        <v>-162.36799999999948</v>
      </c>
      <c r="D57" s="6">
        <f>D3-D10</f>
        <v>-430.65000000000055</v>
      </c>
      <c r="E57" s="12">
        <f>E3-E10</f>
        <v>-275.44810000000052</v>
      </c>
      <c r="F57" s="7">
        <f t="shared" si="1"/>
        <v>155.20190000000002</v>
      </c>
      <c r="G57" s="6">
        <f t="shared" ref="G57:M57" si="9">G3-G10</f>
        <v>-28.715000000000146</v>
      </c>
      <c r="H57" s="6">
        <f t="shared" si="9"/>
        <v>497.20974999999976</v>
      </c>
      <c r="I57" s="6">
        <f t="shared" si="9"/>
        <v>5.3892818044851962</v>
      </c>
      <c r="J57" s="6">
        <f t="shared" si="9"/>
        <v>431.14254435881566</v>
      </c>
      <c r="K57" s="6">
        <f t="shared" si="9"/>
        <v>27.219281804485195</v>
      </c>
      <c r="L57" s="6">
        <f t="shared" si="9"/>
        <v>0</v>
      </c>
      <c r="M57" s="6">
        <f t="shared" si="9"/>
        <v>-183.2840799999999</v>
      </c>
      <c r="N57" s="6">
        <f t="shared" si="2"/>
        <v>-154.56907999999976</v>
      </c>
      <c r="O57" s="6">
        <f>O3-O10</f>
        <v>-151.85746607543797</v>
      </c>
    </row>
    <row r="58" spans="1:18" x14ac:dyDescent="0.2">
      <c r="E58" s="16"/>
      <c r="F58" s="16"/>
    </row>
    <row r="59" spans="1:18" x14ac:dyDescent="0.2">
      <c r="E59" s="16"/>
      <c r="F59" s="16"/>
    </row>
  </sheetData>
  <mergeCells count="1">
    <mergeCell ref="B1:D1"/>
  </mergeCells>
  <pageMargins left="0.25" right="0.2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31" sqref="H31"/>
    </sheetView>
  </sheetViews>
  <sheetFormatPr defaultRowHeight="15" x14ac:dyDescent="0.25"/>
  <cols>
    <col min="1" max="1" width="5.85546875" bestFit="1" customWidth="1"/>
    <col min="2" max="2" width="42.5703125" customWidth="1"/>
    <col min="3" max="5" width="9.140625" hidden="1" customWidth="1"/>
    <col min="10" max="12" width="0" hidden="1" customWidth="1"/>
  </cols>
  <sheetData>
    <row r="1" spans="1:10" s="1" customFormat="1" x14ac:dyDescent="0.25">
      <c r="A1" s="55" t="s">
        <v>201</v>
      </c>
      <c r="B1" s="56"/>
      <c r="C1" s="56"/>
      <c r="D1" s="56"/>
      <c r="E1" s="56"/>
      <c r="F1" s="56"/>
    </row>
    <row r="2" spans="1:10" ht="26.25" x14ac:dyDescent="0.25">
      <c r="A2" s="2"/>
      <c r="B2" s="2"/>
      <c r="C2" s="3" t="s">
        <v>2</v>
      </c>
      <c r="D2" s="3" t="s">
        <v>90</v>
      </c>
      <c r="E2" s="3" t="s">
        <v>92</v>
      </c>
      <c r="F2" s="42" t="s">
        <v>93</v>
      </c>
      <c r="G2" s="42" t="s">
        <v>204</v>
      </c>
      <c r="H2" s="42" t="s">
        <v>91</v>
      </c>
      <c r="I2" s="42" t="s">
        <v>205</v>
      </c>
    </row>
    <row r="3" spans="1:10" ht="15.75" x14ac:dyDescent="0.25">
      <c r="A3" s="30">
        <v>1</v>
      </c>
      <c r="B3" s="24" t="s">
        <v>184</v>
      </c>
      <c r="C3" s="28">
        <f>C4+C5</f>
        <v>462.18299999999999</v>
      </c>
      <c r="D3" s="28">
        <f>D4+D5</f>
        <v>800.25</v>
      </c>
      <c r="E3" s="28">
        <f>E4+E5</f>
        <v>758.75328000000002</v>
      </c>
      <c r="F3" s="28">
        <f>F4+F5</f>
        <v>825</v>
      </c>
      <c r="G3" s="28">
        <f>G4+G5</f>
        <v>908.59899999999993</v>
      </c>
      <c r="H3" s="21">
        <f>F3-G3</f>
        <v>-83.598999999999933</v>
      </c>
      <c r="I3" s="47">
        <f>I4+I5</f>
        <v>838.50599999999997</v>
      </c>
    </row>
    <row r="4" spans="1:10" x14ac:dyDescent="0.25">
      <c r="A4" s="2" t="s">
        <v>13</v>
      </c>
      <c r="B4" s="5" t="s">
        <v>153</v>
      </c>
      <c r="C4" s="8">
        <v>29.7</v>
      </c>
      <c r="D4" s="8"/>
      <c r="E4" s="8">
        <f>3.5+1.149+8.34631-0.82103+3.967-0.576</f>
        <v>15.565279999999998</v>
      </c>
      <c r="F4" s="8">
        <v>10</v>
      </c>
      <c r="G4" s="21">
        <f>11.006+0.7</f>
        <v>11.706</v>
      </c>
      <c r="H4" s="21">
        <f t="shared" ref="H4:H25" si="0">F4-G4</f>
        <v>-1.7059999999999995</v>
      </c>
      <c r="I4" s="21">
        <f>G4</f>
        <v>11.706</v>
      </c>
    </row>
    <row r="5" spans="1:10" x14ac:dyDescent="0.25">
      <c r="A5" s="2" t="s">
        <v>15</v>
      </c>
      <c r="B5" s="5" t="s">
        <v>16</v>
      </c>
      <c r="C5" s="8">
        <f>C6+C7</f>
        <v>432.483</v>
      </c>
      <c r="D5" s="8">
        <f>D6+D7+D8</f>
        <v>800.25</v>
      </c>
      <c r="E5" s="8">
        <f t="shared" ref="E5" si="1">E6+E7+E8</f>
        <v>743.18799999999999</v>
      </c>
      <c r="F5" s="8">
        <f>F6+F7+F8</f>
        <v>815</v>
      </c>
      <c r="G5" s="8">
        <f>G6+G7+G8</f>
        <v>896.89299999999992</v>
      </c>
      <c r="H5" s="21">
        <f t="shared" si="0"/>
        <v>-81.892999999999915</v>
      </c>
      <c r="I5" s="21">
        <f>I6+I7+I8</f>
        <v>826.8</v>
      </c>
    </row>
    <row r="6" spans="1:10" x14ac:dyDescent="0.25">
      <c r="A6" s="2" t="s">
        <v>17</v>
      </c>
      <c r="B6" s="2" t="s">
        <v>107</v>
      </c>
      <c r="C6" s="8">
        <v>432.483</v>
      </c>
      <c r="D6" s="8">
        <v>450</v>
      </c>
      <c r="E6" s="8">
        <v>453</v>
      </c>
      <c r="F6" s="8">
        <f>750*51*12/1000</f>
        <v>459</v>
      </c>
      <c r="G6" s="21">
        <v>459</v>
      </c>
      <c r="H6" s="21">
        <f t="shared" si="0"/>
        <v>0</v>
      </c>
      <c r="I6" s="21">
        <f>G6</f>
        <v>459</v>
      </c>
    </row>
    <row r="7" spans="1:10" x14ac:dyDescent="0.25">
      <c r="A7" s="2" t="s">
        <v>156</v>
      </c>
      <c r="B7" s="2" t="s">
        <v>108</v>
      </c>
      <c r="C7" s="8"/>
      <c r="D7" s="8">
        <v>180.25</v>
      </c>
      <c r="E7" s="8">
        <v>126.6</v>
      </c>
      <c r="F7" s="8">
        <f>0.2*80*12</f>
        <v>192</v>
      </c>
      <c r="G7" s="21">
        <v>197.8</v>
      </c>
      <c r="H7" s="21">
        <f t="shared" si="0"/>
        <v>-5.8000000000000114</v>
      </c>
      <c r="I7" s="21">
        <f>G7</f>
        <v>197.8</v>
      </c>
    </row>
    <row r="8" spans="1:10" x14ac:dyDescent="0.25">
      <c r="A8" s="2" t="s">
        <v>157</v>
      </c>
      <c r="B8" s="29" t="s">
        <v>155</v>
      </c>
      <c r="C8" s="8"/>
      <c r="D8" s="8">
        <v>170</v>
      </c>
      <c r="E8" s="8">
        <v>163.58799999999999</v>
      </c>
      <c r="F8" s="8">
        <v>164</v>
      </c>
      <c r="G8" s="21">
        <v>240.09299999999999</v>
      </c>
      <c r="H8" s="21">
        <f t="shared" si="0"/>
        <v>-76.092999999999989</v>
      </c>
      <c r="I8" s="21">
        <v>170</v>
      </c>
    </row>
    <row r="9" spans="1:10" ht="15.75" x14ac:dyDescent="0.25">
      <c r="A9" s="31">
        <v>2</v>
      </c>
      <c r="B9" s="32" t="s">
        <v>185</v>
      </c>
      <c r="C9" s="28">
        <f>C10+C11+C12+C13+C14+C17+C18+C19</f>
        <v>511.18</v>
      </c>
      <c r="D9" s="28">
        <f>SUM(D10:D23)</f>
        <v>685</v>
      </c>
      <c r="E9" s="28">
        <f>SUM(E10:E23)</f>
        <v>752.20444000000009</v>
      </c>
      <c r="F9" s="28">
        <f>SUM(F10:F23)</f>
        <v>824.7</v>
      </c>
      <c r="G9" s="28">
        <f>SUM(G10:G23)</f>
        <v>769.16502999999989</v>
      </c>
      <c r="H9" s="21">
        <f t="shared" si="0"/>
        <v>55.534970000000158</v>
      </c>
      <c r="I9" s="47">
        <f>SUM(I10:I24)</f>
        <v>858.94399999999996</v>
      </c>
    </row>
    <row r="10" spans="1:10" x14ac:dyDescent="0.25">
      <c r="A10" s="10" t="s">
        <v>83</v>
      </c>
      <c r="B10" s="2" t="s">
        <v>109</v>
      </c>
      <c r="C10" s="8">
        <v>344.2</v>
      </c>
      <c r="D10" s="8">
        <v>380</v>
      </c>
      <c r="E10" s="8">
        <v>410.71874000000003</v>
      </c>
      <c r="F10" s="8">
        <f>30*13</f>
        <v>390</v>
      </c>
      <c r="G10" s="21">
        <f>454.43003+5.75</f>
        <v>460.18002999999999</v>
      </c>
      <c r="H10" s="21">
        <f t="shared" si="0"/>
        <v>-70.180029999999988</v>
      </c>
      <c r="I10" s="21">
        <f>496.4+40+12-1</f>
        <v>547.4</v>
      </c>
      <c r="J10" t="s">
        <v>230</v>
      </c>
    </row>
    <row r="11" spans="1:10" x14ac:dyDescent="0.25">
      <c r="A11" s="10" t="s">
        <v>84</v>
      </c>
      <c r="B11" s="2" t="s">
        <v>110</v>
      </c>
      <c r="C11" s="8">
        <v>68.8</v>
      </c>
      <c r="D11" s="8">
        <v>70</v>
      </c>
      <c r="E11" s="8">
        <v>82.14</v>
      </c>
      <c r="F11" s="8">
        <f>F10*23/100</f>
        <v>89.7</v>
      </c>
      <c r="G11" s="51">
        <f>90.886</f>
        <v>90.885999999999996</v>
      </c>
      <c r="H11" s="21">
        <f t="shared" si="0"/>
        <v>-1.1859999999999928</v>
      </c>
      <c r="I11" s="21">
        <f>I10*0.2</f>
        <v>109.48</v>
      </c>
    </row>
    <row r="12" spans="1:10" s="1" customFormat="1" x14ac:dyDescent="0.25">
      <c r="A12" s="10" t="s">
        <v>100</v>
      </c>
      <c r="B12" s="2" t="s">
        <v>54</v>
      </c>
      <c r="C12" s="8">
        <v>42.04</v>
      </c>
      <c r="D12" s="8">
        <v>30</v>
      </c>
      <c r="E12" s="8">
        <v>51.243000000000002</v>
      </c>
      <c r="F12" s="8">
        <v>50</v>
      </c>
      <c r="G12" s="8">
        <v>20</v>
      </c>
      <c r="H12" s="21">
        <f t="shared" si="0"/>
        <v>30</v>
      </c>
      <c r="I12" s="21">
        <v>20</v>
      </c>
    </row>
    <row r="13" spans="1:10" x14ac:dyDescent="0.25">
      <c r="A13" s="10" t="s">
        <v>158</v>
      </c>
      <c r="B13" s="2" t="s">
        <v>183</v>
      </c>
      <c r="C13" s="8"/>
      <c r="D13" s="8"/>
      <c r="E13" s="8">
        <f>10.5+1.715</f>
        <v>12.215</v>
      </c>
      <c r="F13" s="8">
        <f>20+30</f>
        <v>50</v>
      </c>
      <c r="G13" s="51">
        <v>30</v>
      </c>
      <c r="H13" s="21">
        <f t="shared" si="0"/>
        <v>20</v>
      </c>
      <c r="I13" s="21">
        <f t="shared" ref="I13:I21" si="2">G13</f>
        <v>30</v>
      </c>
    </row>
    <row r="14" spans="1:10" x14ac:dyDescent="0.25">
      <c r="A14" s="10" t="s">
        <v>101</v>
      </c>
      <c r="B14" s="2" t="s">
        <v>235</v>
      </c>
      <c r="C14" s="8">
        <v>25.14</v>
      </c>
      <c r="D14" s="8">
        <f>45+70</f>
        <v>115</v>
      </c>
      <c r="E14" s="8">
        <f>10.67+6.04+37.107+2.37+3.192+107+7.5</f>
        <v>173.87899999999999</v>
      </c>
      <c r="F14" s="8">
        <f>15+5+8</f>
        <v>28</v>
      </c>
      <c r="G14" s="51">
        <f>15.5+45.4+6</f>
        <v>66.900000000000006</v>
      </c>
      <c r="H14" s="21">
        <f t="shared" si="0"/>
        <v>-38.900000000000006</v>
      </c>
      <c r="I14" s="21">
        <v>42</v>
      </c>
    </row>
    <row r="15" spans="1:10" ht="26.25" x14ac:dyDescent="0.25">
      <c r="A15" s="10" t="s">
        <v>102</v>
      </c>
      <c r="B15" s="3" t="s">
        <v>187</v>
      </c>
      <c r="C15" s="8"/>
      <c r="D15" s="8"/>
      <c r="E15" s="8"/>
      <c r="F15" s="8">
        <v>70</v>
      </c>
      <c r="G15" s="49">
        <v>43.2</v>
      </c>
      <c r="H15" s="21">
        <f t="shared" si="0"/>
        <v>26.799999999999997</v>
      </c>
      <c r="I15" s="21">
        <v>60</v>
      </c>
    </row>
    <row r="16" spans="1:10" hidden="1" x14ac:dyDescent="0.25">
      <c r="A16" s="10" t="s">
        <v>104</v>
      </c>
      <c r="B16" s="2" t="s">
        <v>118</v>
      </c>
      <c r="C16" s="8"/>
      <c r="D16" s="8"/>
      <c r="E16" s="8">
        <f>1.6*2+1.2+0.75*5</f>
        <v>8.15</v>
      </c>
      <c r="F16" s="8"/>
      <c r="G16" s="51"/>
      <c r="H16" s="21">
        <f t="shared" si="0"/>
        <v>0</v>
      </c>
      <c r="I16" s="21">
        <f t="shared" si="2"/>
        <v>0</v>
      </c>
    </row>
    <row r="17" spans="1:9" hidden="1" x14ac:dyDescent="0.25">
      <c r="A17" s="10" t="s">
        <v>105</v>
      </c>
      <c r="B17" s="2" t="s">
        <v>218</v>
      </c>
      <c r="C17" s="8"/>
      <c r="D17" s="8"/>
      <c r="E17" s="8"/>
      <c r="F17" s="8"/>
      <c r="G17" s="51"/>
      <c r="H17" s="21">
        <f t="shared" si="0"/>
        <v>0</v>
      </c>
      <c r="I17" s="21"/>
    </row>
    <row r="18" spans="1:9" ht="26.25" x14ac:dyDescent="0.25">
      <c r="A18" s="10" t="s">
        <v>159</v>
      </c>
      <c r="B18" s="3" t="s">
        <v>216</v>
      </c>
      <c r="C18" s="8"/>
      <c r="D18" s="8">
        <v>50</v>
      </c>
      <c r="E18" s="8"/>
      <c r="F18" s="8">
        <v>32</v>
      </c>
      <c r="G18" s="51"/>
      <c r="H18" s="21">
        <f t="shared" si="0"/>
        <v>32</v>
      </c>
      <c r="I18" s="21">
        <v>0</v>
      </c>
    </row>
    <row r="19" spans="1:9" x14ac:dyDescent="0.25">
      <c r="A19" s="10" t="s">
        <v>160</v>
      </c>
      <c r="B19" s="2" t="s">
        <v>69</v>
      </c>
      <c r="C19" s="8">
        <v>31</v>
      </c>
      <c r="D19" s="8">
        <v>40</v>
      </c>
      <c r="E19" s="8">
        <f>9+4.8587</f>
        <v>13.858699999999999</v>
      </c>
      <c r="F19" s="8">
        <v>40</v>
      </c>
      <c r="G19" s="51">
        <f>22.1+18.964-1</f>
        <v>40.064</v>
      </c>
      <c r="H19" s="21">
        <f t="shared" si="0"/>
        <v>-6.4000000000000057E-2</v>
      </c>
      <c r="I19" s="21">
        <f t="shared" si="2"/>
        <v>40.064</v>
      </c>
    </row>
    <row r="20" spans="1:9" x14ac:dyDescent="0.25">
      <c r="A20" s="10" t="s">
        <v>180</v>
      </c>
      <c r="B20" s="2" t="s">
        <v>181</v>
      </c>
      <c r="C20" s="8"/>
      <c r="D20" s="8"/>
      <c r="E20" s="8"/>
      <c r="F20" s="8">
        <v>10</v>
      </c>
      <c r="G20" s="51">
        <v>0</v>
      </c>
      <c r="H20" s="21">
        <f t="shared" si="0"/>
        <v>10</v>
      </c>
      <c r="I20" s="21">
        <v>10</v>
      </c>
    </row>
    <row r="21" spans="1:9" x14ac:dyDescent="0.25">
      <c r="A21" s="10" t="s">
        <v>182</v>
      </c>
      <c r="B21" s="2" t="s">
        <v>188</v>
      </c>
      <c r="C21" s="8"/>
      <c r="D21" s="8"/>
      <c r="E21" s="8"/>
      <c r="F21" s="8">
        <v>25</v>
      </c>
      <c r="G21" s="51"/>
      <c r="H21" s="21">
        <f t="shared" si="0"/>
        <v>25</v>
      </c>
      <c r="I21" s="21">
        <f t="shared" si="2"/>
        <v>0</v>
      </c>
    </row>
    <row r="22" spans="1:9" ht="26.25" x14ac:dyDescent="0.25">
      <c r="A22" s="10" t="s">
        <v>190</v>
      </c>
      <c r="B22" s="3" t="s">
        <v>189</v>
      </c>
      <c r="C22" s="8"/>
      <c r="D22" s="8"/>
      <c r="E22" s="8"/>
      <c r="F22" s="8">
        <v>25</v>
      </c>
      <c r="G22" s="51">
        <v>0</v>
      </c>
      <c r="H22" s="21">
        <f t="shared" si="0"/>
        <v>25</v>
      </c>
      <c r="I22" s="21"/>
    </row>
    <row r="23" spans="1:9" ht="30" customHeight="1" x14ac:dyDescent="0.25">
      <c r="A23" s="10" t="s">
        <v>191</v>
      </c>
      <c r="B23" s="3" t="s">
        <v>186</v>
      </c>
      <c r="C23" s="8"/>
      <c r="D23" s="8"/>
      <c r="E23" s="8"/>
      <c r="F23" s="8">
        <v>15</v>
      </c>
      <c r="G23" s="21">
        <f>8.7+5.75+3.485</f>
        <v>17.934999999999999</v>
      </c>
      <c r="H23" s="21">
        <f t="shared" si="0"/>
        <v>-2.9349999999999987</v>
      </c>
      <c r="I23" s="21"/>
    </row>
    <row r="24" spans="1:9" ht="30" customHeight="1" x14ac:dyDescent="0.25">
      <c r="A24" s="10"/>
      <c r="B24" s="59" t="s">
        <v>243</v>
      </c>
      <c r="C24" s="8"/>
      <c r="D24" s="8"/>
      <c r="E24" s="8"/>
      <c r="F24" s="8"/>
      <c r="G24" s="21"/>
      <c r="H24" s="21">
        <f t="shared" si="0"/>
        <v>0</v>
      </c>
      <c r="I24" s="21">
        <v>0</v>
      </c>
    </row>
    <row r="25" spans="1:9" ht="15.75" x14ac:dyDescent="0.25">
      <c r="A25" s="24"/>
      <c r="B25" s="37" t="s">
        <v>169</v>
      </c>
      <c r="C25" s="28">
        <f>C3-C9</f>
        <v>-48.997000000000014</v>
      </c>
      <c r="D25" s="28">
        <f>D3-D9</f>
        <v>115.25</v>
      </c>
      <c r="E25" s="28">
        <f>E3-E9</f>
        <v>6.5488399999999274</v>
      </c>
      <c r="F25" s="28">
        <f>F3-F9</f>
        <v>0.29999999999995453</v>
      </c>
      <c r="G25" s="28">
        <f>G3-G9</f>
        <v>139.43397000000004</v>
      </c>
      <c r="H25" s="21">
        <f t="shared" si="0"/>
        <v>-139.13397000000009</v>
      </c>
      <c r="I25" s="28">
        <f t="shared" ref="I25" si="3">I3-I9</f>
        <v>-20.437999999999988</v>
      </c>
    </row>
    <row r="26" spans="1:9" x14ac:dyDescent="0.25">
      <c r="A26" s="1"/>
      <c r="B26" s="1"/>
      <c r="C26" s="1"/>
      <c r="D26" s="1"/>
      <c r="E26" s="1"/>
      <c r="F26" s="1"/>
    </row>
    <row r="27" spans="1:9" x14ac:dyDescent="0.25">
      <c r="G27" s="43"/>
    </row>
  </sheetData>
  <mergeCells count="1">
    <mergeCell ref="A1:F1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workbookViewId="0">
      <selection activeCell="B65" sqref="B65"/>
    </sheetView>
  </sheetViews>
  <sheetFormatPr defaultRowHeight="12.75" x14ac:dyDescent="0.2"/>
  <cols>
    <col min="1" max="1" width="5.85546875" style="1" bestFit="1" customWidth="1"/>
    <col min="2" max="2" width="51" style="1" customWidth="1"/>
    <col min="3" max="3" width="7.5703125" style="1" hidden="1" customWidth="1"/>
    <col min="4" max="4" width="7.28515625" style="1" customWidth="1"/>
    <col min="5" max="5" width="7" style="1" bestFit="1" customWidth="1"/>
    <col min="6" max="6" width="7" style="1" customWidth="1"/>
    <col min="7" max="7" width="8.85546875" style="1" bestFit="1" customWidth="1"/>
    <col min="8" max="16384" width="9.140625" style="1"/>
  </cols>
  <sheetData>
    <row r="1" spans="1:11" x14ac:dyDescent="0.2">
      <c r="B1" s="57" t="s">
        <v>202</v>
      </c>
      <c r="C1" s="57"/>
      <c r="D1" s="57"/>
    </row>
    <row r="2" spans="1:11" ht="7.5" customHeight="1" x14ac:dyDescent="0.2"/>
    <row r="3" spans="1:11" ht="28.5" customHeight="1" x14ac:dyDescent="0.2">
      <c r="A3" s="2" t="s">
        <v>0</v>
      </c>
      <c r="B3" s="2" t="s">
        <v>1</v>
      </c>
      <c r="C3" s="3" t="s">
        <v>2</v>
      </c>
      <c r="D3" s="3" t="s">
        <v>90</v>
      </c>
      <c r="E3" s="3" t="s">
        <v>92</v>
      </c>
      <c r="F3" s="3" t="s">
        <v>91</v>
      </c>
      <c r="G3" s="3" t="s">
        <v>93</v>
      </c>
    </row>
    <row r="4" spans="1:11" ht="28.5" customHeight="1" x14ac:dyDescent="0.25">
      <c r="A4" s="2">
        <v>1</v>
      </c>
      <c r="B4" s="24" t="s">
        <v>152</v>
      </c>
      <c r="C4" s="26"/>
      <c r="D4" s="27">
        <f>D5+D10+D11</f>
        <v>3392.45</v>
      </c>
      <c r="E4" s="27">
        <f t="shared" ref="E4:G4" si="0">E5+E10+E11</f>
        <v>3365.3202799999999</v>
      </c>
      <c r="F4" s="35">
        <f t="shared" si="0"/>
        <v>-27.129719999999825</v>
      </c>
      <c r="G4" s="27">
        <f t="shared" si="0"/>
        <v>3928.77675</v>
      </c>
    </row>
    <row r="5" spans="1:11" x14ac:dyDescent="0.2">
      <c r="A5" s="4" t="s">
        <v>3</v>
      </c>
      <c r="B5" s="5" t="s">
        <v>4</v>
      </c>
      <c r="C5" s="6">
        <f>C6+C7+C8+C9+C1</f>
        <v>2465.6190000000001</v>
      </c>
      <c r="D5" s="6">
        <f>D6+D7+D8+D9+D1</f>
        <v>2592.1999999999998</v>
      </c>
      <c r="E5" s="6">
        <f>E6+E7+E8+E9</f>
        <v>2606.567</v>
      </c>
      <c r="F5" s="7">
        <f>E5-D5</f>
        <v>14.367000000000189</v>
      </c>
      <c r="G5" s="6">
        <f>G6+G7+G8+G9</f>
        <v>3103.77675</v>
      </c>
      <c r="I5" s="25"/>
      <c r="J5" s="25"/>
      <c r="K5" s="25"/>
    </row>
    <row r="6" spans="1:11" x14ac:dyDescent="0.2">
      <c r="A6" s="4" t="s">
        <v>5</v>
      </c>
      <c r="B6" s="2" t="s">
        <v>6</v>
      </c>
      <c r="C6" s="7">
        <v>136.44399999999999</v>
      </c>
      <c r="D6" s="8">
        <f>D17</f>
        <v>188.2</v>
      </c>
      <c r="E6" s="8">
        <v>173.14</v>
      </c>
      <c r="F6" s="7">
        <f t="shared" ref="F6:F74" si="1">E6-D6</f>
        <v>-15.060000000000002</v>
      </c>
      <c r="G6" s="8">
        <v>199</v>
      </c>
      <c r="I6" s="25"/>
      <c r="J6" s="25"/>
      <c r="K6" s="25"/>
    </row>
    <row r="7" spans="1:11" x14ac:dyDescent="0.2">
      <c r="A7" s="4" t="s">
        <v>7</v>
      </c>
      <c r="B7" s="2" t="s">
        <v>8</v>
      </c>
      <c r="C7" s="7">
        <v>427.08600000000001</v>
      </c>
      <c r="D7" s="7">
        <v>427</v>
      </c>
      <c r="E7" s="7">
        <v>454.8</v>
      </c>
      <c r="F7" s="7">
        <f t="shared" si="1"/>
        <v>27.800000000000011</v>
      </c>
      <c r="G7" s="8">
        <f>БДР!G5</f>
        <v>499</v>
      </c>
      <c r="I7" s="25"/>
      <c r="J7" s="25"/>
      <c r="K7" s="25"/>
    </row>
    <row r="8" spans="1:11" x14ac:dyDescent="0.2">
      <c r="A8" s="4" t="s">
        <v>9</v>
      </c>
      <c r="B8" s="2" t="s">
        <v>10</v>
      </c>
      <c r="C8" s="7">
        <v>1795.182</v>
      </c>
      <c r="D8" s="7">
        <v>1795</v>
      </c>
      <c r="E8" s="7">
        <v>1844.797</v>
      </c>
      <c r="F8" s="7">
        <f t="shared" si="1"/>
        <v>49.797000000000025</v>
      </c>
      <c r="G8" s="8">
        <f>БДР!G6</f>
        <v>2184.5747499999998</v>
      </c>
      <c r="I8" s="25"/>
      <c r="J8" s="25"/>
      <c r="K8" s="25"/>
    </row>
    <row r="9" spans="1:11" x14ac:dyDescent="0.2">
      <c r="A9" s="4" t="s">
        <v>11</v>
      </c>
      <c r="B9" s="2" t="s">
        <v>12</v>
      </c>
      <c r="C9" s="7">
        <v>106.907</v>
      </c>
      <c r="D9" s="7">
        <f>D57</f>
        <v>182</v>
      </c>
      <c r="E9" s="7">
        <v>133.83000000000001</v>
      </c>
      <c r="F9" s="7">
        <f t="shared" si="1"/>
        <v>-48.169999999999987</v>
      </c>
      <c r="G9" s="8">
        <f>G57</f>
        <v>221.202</v>
      </c>
      <c r="I9" s="25"/>
      <c r="J9" s="25"/>
      <c r="K9" s="25"/>
    </row>
    <row r="10" spans="1:11" customFormat="1" ht="15" x14ac:dyDescent="0.25">
      <c r="A10" s="2" t="s">
        <v>13</v>
      </c>
      <c r="B10" s="5" t="s">
        <v>14</v>
      </c>
      <c r="C10" s="8">
        <v>29.7</v>
      </c>
      <c r="D10" s="8">
        <v>0</v>
      </c>
      <c r="E10" s="8">
        <f>'предприн деят'!E4</f>
        <v>15.565279999999998</v>
      </c>
      <c r="F10" s="7">
        <f t="shared" si="1"/>
        <v>15.565279999999998</v>
      </c>
      <c r="G10" s="8">
        <f>'предприн деят'!F4</f>
        <v>10</v>
      </c>
      <c r="H10" s="1"/>
    </row>
    <row r="11" spans="1:11" customFormat="1" ht="15" x14ac:dyDescent="0.25">
      <c r="A11" s="2" t="s">
        <v>15</v>
      </c>
      <c r="B11" s="5" t="s">
        <v>161</v>
      </c>
      <c r="C11" s="8" t="e">
        <f>#REF!+C17</f>
        <v>#REF!</v>
      </c>
      <c r="D11" s="8">
        <f>'предприн деят'!D5</f>
        <v>800.25</v>
      </c>
      <c r="E11" s="8">
        <f>'предприн деят'!E5</f>
        <v>743.18799999999999</v>
      </c>
      <c r="F11" s="7">
        <f t="shared" si="1"/>
        <v>-57.062000000000012</v>
      </c>
      <c r="G11" s="8">
        <f>'предприн деят'!F5</f>
        <v>815</v>
      </c>
      <c r="H11" s="1"/>
    </row>
    <row r="12" spans="1:11" customFormat="1" ht="15" x14ac:dyDescent="0.25">
      <c r="A12" s="33"/>
      <c r="B12" s="2" t="s">
        <v>162</v>
      </c>
      <c r="C12" s="8">
        <v>432.483</v>
      </c>
      <c r="D12" s="8">
        <v>450</v>
      </c>
      <c r="E12" s="8">
        <v>453</v>
      </c>
      <c r="F12" s="7">
        <f t="shared" si="1"/>
        <v>3</v>
      </c>
      <c r="G12" s="8">
        <f>750*51*12/1000</f>
        <v>459</v>
      </c>
    </row>
    <row r="13" spans="1:11" customFormat="1" ht="15" x14ac:dyDescent="0.25">
      <c r="A13" s="2"/>
      <c r="B13" s="2" t="s">
        <v>163</v>
      </c>
      <c r="C13" s="8"/>
      <c r="D13" s="8">
        <v>180.25</v>
      </c>
      <c r="E13" s="8">
        <v>126.6</v>
      </c>
      <c r="F13" s="7">
        <f t="shared" si="1"/>
        <v>-53.650000000000006</v>
      </c>
      <c r="G13" s="8">
        <f>0.2*80*12</f>
        <v>192</v>
      </c>
    </row>
    <row r="14" spans="1:11" customFormat="1" ht="15" x14ac:dyDescent="0.25">
      <c r="A14" s="2"/>
      <c r="B14" s="29" t="s">
        <v>164</v>
      </c>
      <c r="C14" s="8"/>
      <c r="D14" s="8">
        <v>170</v>
      </c>
      <c r="E14" s="8">
        <v>163.58799999999999</v>
      </c>
      <c r="F14" s="7">
        <f t="shared" si="1"/>
        <v>-6.4120000000000061</v>
      </c>
      <c r="G14" s="8">
        <v>164</v>
      </c>
    </row>
    <row r="15" spans="1:11" customFormat="1" ht="15.75" x14ac:dyDescent="0.25">
      <c r="A15" s="2">
        <v>2</v>
      </c>
      <c r="B15" s="24" t="s">
        <v>98</v>
      </c>
      <c r="C15" s="28"/>
      <c r="D15" s="28">
        <f>D16+D62</f>
        <v>3787.8500000000004</v>
      </c>
      <c r="E15" s="28">
        <f>E16+E62</f>
        <v>3634.2210400000004</v>
      </c>
      <c r="F15" s="36">
        <f t="shared" ref="F15" si="2">F16+F62</f>
        <v>-153.62895999999978</v>
      </c>
      <c r="G15" s="28">
        <f>G16+G62</f>
        <v>3957.19175</v>
      </c>
      <c r="H15" s="1"/>
    </row>
    <row r="16" spans="1:11" customFormat="1" ht="15.75" x14ac:dyDescent="0.25">
      <c r="A16" s="34">
        <v>2.1</v>
      </c>
      <c r="B16" s="5" t="s">
        <v>154</v>
      </c>
      <c r="C16" s="12"/>
      <c r="D16" s="12">
        <f>БДР!D10</f>
        <v>3022.8500000000004</v>
      </c>
      <c r="E16" s="12">
        <f>БДР!E10</f>
        <v>2882.0151000000005</v>
      </c>
      <c r="F16" s="7">
        <f t="shared" si="1"/>
        <v>-140.83489999999983</v>
      </c>
      <c r="G16" s="12">
        <f>БДР!G10</f>
        <v>3132.4917500000001</v>
      </c>
    </row>
    <row r="17" spans="1:10" ht="15.75" hidden="1" customHeight="1" x14ac:dyDescent="0.2">
      <c r="A17" s="33" t="s">
        <v>20</v>
      </c>
      <c r="B17" s="5" t="s">
        <v>21</v>
      </c>
      <c r="C17" s="12">
        <f>C18+C19</f>
        <v>138.32</v>
      </c>
      <c r="D17" s="12">
        <f>D18+D19</f>
        <v>188.2</v>
      </c>
      <c r="E17" s="12">
        <v>181</v>
      </c>
      <c r="F17" s="7">
        <f t="shared" si="1"/>
        <v>-7.1999999999999886</v>
      </c>
      <c r="G17" s="12">
        <v>199</v>
      </c>
      <c r="I17" s="25"/>
      <c r="J17" s="25"/>
    </row>
    <row r="18" spans="1:10" ht="12.75" hidden="1" customHeight="1" x14ac:dyDescent="0.2">
      <c r="A18" s="33" t="s">
        <v>22</v>
      </c>
      <c r="B18" s="2" t="s">
        <v>23</v>
      </c>
      <c r="C18" s="8">
        <v>134.22</v>
      </c>
      <c r="D18" s="8">
        <f>14.85*12+2</f>
        <v>180.2</v>
      </c>
      <c r="E18" s="8">
        <f>28.83727+7.425+15.345*3+14.85+15.345*4+16.85+14.85</f>
        <v>190.22726999999998</v>
      </c>
      <c r="F18" s="7">
        <f t="shared" si="1"/>
        <v>10.027269999999987</v>
      </c>
      <c r="G18" s="8"/>
    </row>
    <row r="19" spans="1:10" ht="12.75" hidden="1" customHeight="1" x14ac:dyDescent="0.2">
      <c r="A19" s="33" t="s">
        <v>24</v>
      </c>
      <c r="B19" s="2" t="s">
        <v>25</v>
      </c>
      <c r="C19" s="8">
        <v>4.0999999999999996</v>
      </c>
      <c r="D19" s="8">
        <v>8</v>
      </c>
      <c r="E19" s="8">
        <f>2.2</f>
        <v>2.2000000000000002</v>
      </c>
      <c r="F19" s="7">
        <f t="shared" si="1"/>
        <v>-5.8</v>
      </c>
      <c r="G19" s="8"/>
    </row>
    <row r="20" spans="1:10" hidden="1" x14ac:dyDescent="0.2">
      <c r="A20" s="33" t="s">
        <v>26</v>
      </c>
      <c r="B20" s="5" t="s">
        <v>27</v>
      </c>
      <c r="C20" s="12">
        <f>SUM(C21:C33)</f>
        <v>606.60699999999997</v>
      </c>
      <c r="D20" s="12">
        <f t="shared" ref="D20:G20" si="3">SUM(D21:D33)</f>
        <v>562.5</v>
      </c>
      <c r="E20" s="12">
        <f>SUM(E21:E33)</f>
        <v>298.26809000000003</v>
      </c>
      <c r="F20" s="7">
        <f t="shared" si="1"/>
        <v>-264.23190999999997</v>
      </c>
      <c r="G20" s="12">
        <f t="shared" si="3"/>
        <v>515</v>
      </c>
    </row>
    <row r="21" spans="1:10" hidden="1" x14ac:dyDescent="0.2">
      <c r="A21" s="33" t="s">
        <v>28</v>
      </c>
      <c r="B21" s="2" t="s">
        <v>29</v>
      </c>
      <c r="C21" s="8"/>
      <c r="D21" s="8">
        <v>71</v>
      </c>
      <c r="E21" s="8">
        <v>71.286299999999997</v>
      </c>
      <c r="F21" s="7">
        <f t="shared" si="1"/>
        <v>0.28629999999999711</v>
      </c>
      <c r="G21" s="8"/>
    </row>
    <row r="22" spans="1:10" hidden="1" x14ac:dyDescent="0.2">
      <c r="A22" s="33" t="s">
        <v>30</v>
      </c>
      <c r="B22" s="2" t="s">
        <v>95</v>
      </c>
      <c r="C22" s="8">
        <v>7.6550000000000002</v>
      </c>
      <c r="D22" s="8">
        <v>1.5</v>
      </c>
      <c r="E22" s="8"/>
      <c r="F22" s="7">
        <f t="shared" si="1"/>
        <v>-1.5</v>
      </c>
      <c r="G22" s="8">
        <v>16</v>
      </c>
    </row>
    <row r="23" spans="1:10" ht="12.75" hidden="1" customHeight="1" x14ac:dyDescent="0.2">
      <c r="A23" s="33" t="s">
        <v>31</v>
      </c>
      <c r="B23" s="2" t="s">
        <v>32</v>
      </c>
      <c r="C23" s="8"/>
      <c r="D23" s="8">
        <v>0</v>
      </c>
      <c r="E23" s="8"/>
      <c r="F23" s="7">
        <f t="shared" si="1"/>
        <v>0</v>
      </c>
      <c r="G23" s="8"/>
    </row>
    <row r="24" spans="1:10" hidden="1" x14ac:dyDescent="0.2">
      <c r="A24" s="33" t="s">
        <v>33</v>
      </c>
      <c r="B24" s="2" t="s">
        <v>34</v>
      </c>
      <c r="C24" s="8">
        <v>78</v>
      </c>
      <c r="D24" s="8">
        <v>52</v>
      </c>
      <c r="E24" s="8">
        <v>34.5</v>
      </c>
      <c r="F24" s="7">
        <f t="shared" si="1"/>
        <v>-17.5</v>
      </c>
      <c r="G24" s="8">
        <v>35</v>
      </c>
    </row>
    <row r="25" spans="1:10" hidden="1" x14ac:dyDescent="0.2">
      <c r="A25" s="33" t="s">
        <v>35</v>
      </c>
      <c r="B25" s="2" t="s">
        <v>96</v>
      </c>
      <c r="C25" s="8">
        <v>287.87200000000001</v>
      </c>
      <c r="D25" s="8">
        <v>300</v>
      </c>
      <c r="E25" s="8"/>
      <c r="F25" s="7">
        <f t="shared" si="1"/>
        <v>-300</v>
      </c>
      <c r="G25" s="8">
        <v>298</v>
      </c>
    </row>
    <row r="26" spans="1:10" hidden="1" x14ac:dyDescent="0.2">
      <c r="A26" s="33" t="s">
        <v>36</v>
      </c>
      <c r="B26" s="2" t="s">
        <v>37</v>
      </c>
      <c r="C26" s="8">
        <v>174.8</v>
      </c>
      <c r="D26" s="8"/>
      <c r="E26" s="8">
        <f>11.3</f>
        <v>11.3</v>
      </c>
      <c r="F26" s="7">
        <f t="shared" si="1"/>
        <v>11.3</v>
      </c>
      <c r="G26" s="8"/>
    </row>
    <row r="27" spans="1:10" hidden="1" x14ac:dyDescent="0.2">
      <c r="A27" s="33" t="s">
        <v>38</v>
      </c>
      <c r="B27" s="2" t="s">
        <v>39</v>
      </c>
      <c r="C27" s="8">
        <v>15</v>
      </c>
      <c r="D27" s="8"/>
      <c r="E27" s="8">
        <v>1.9450000000000001</v>
      </c>
      <c r="F27" s="7">
        <f t="shared" si="1"/>
        <v>1.9450000000000001</v>
      </c>
      <c r="G27" s="8"/>
    </row>
    <row r="28" spans="1:10" hidden="1" x14ac:dyDescent="0.2">
      <c r="A28" s="33" t="s">
        <v>40</v>
      </c>
      <c r="B28" s="2" t="s">
        <v>41</v>
      </c>
      <c r="C28" s="8"/>
      <c r="D28" s="8">
        <v>15</v>
      </c>
      <c r="E28" s="8">
        <f>10.35+2.034</f>
        <v>12.384</v>
      </c>
      <c r="F28" s="7">
        <f t="shared" si="1"/>
        <v>-2.6159999999999997</v>
      </c>
      <c r="G28" s="8">
        <v>40</v>
      </c>
    </row>
    <row r="29" spans="1:10" hidden="1" x14ac:dyDescent="0.2">
      <c r="A29" s="33" t="s">
        <v>42</v>
      </c>
      <c r="B29" s="2" t="s">
        <v>43</v>
      </c>
      <c r="C29" s="8"/>
      <c r="D29" s="8">
        <v>8</v>
      </c>
      <c r="E29" s="8">
        <f>2.899+0.9+4.03</f>
        <v>7.8290000000000006</v>
      </c>
      <c r="F29" s="7">
        <f t="shared" si="1"/>
        <v>-0.17099999999999937</v>
      </c>
      <c r="G29" s="8"/>
    </row>
    <row r="30" spans="1:10" hidden="1" x14ac:dyDescent="0.2">
      <c r="A30" s="33" t="s">
        <v>44</v>
      </c>
      <c r="B30" s="2" t="s">
        <v>116</v>
      </c>
      <c r="C30" s="8"/>
      <c r="D30" s="8">
        <v>100</v>
      </c>
      <c r="E30" s="8">
        <f>99.12124+17.8</f>
        <v>116.92124</v>
      </c>
      <c r="F30" s="7">
        <f t="shared" si="1"/>
        <v>16.921239999999997</v>
      </c>
      <c r="G30" s="8">
        <v>50</v>
      </c>
    </row>
    <row r="31" spans="1:10" hidden="1" x14ac:dyDescent="0.2">
      <c r="A31" s="33" t="s">
        <v>45</v>
      </c>
      <c r="B31" s="2" t="s">
        <v>149</v>
      </c>
      <c r="C31" s="8"/>
      <c r="D31" s="8"/>
      <c r="E31" s="8"/>
      <c r="F31" s="7">
        <f t="shared" si="1"/>
        <v>0</v>
      </c>
      <c r="G31" s="8">
        <v>76</v>
      </c>
    </row>
    <row r="32" spans="1:10" hidden="1" x14ac:dyDescent="0.2">
      <c r="A32" s="33" t="s">
        <v>113</v>
      </c>
      <c r="B32" s="2" t="s">
        <v>124</v>
      </c>
      <c r="C32" s="8">
        <f>2.4+1.5+19.68+6.6+11.1+2</f>
        <v>43.28</v>
      </c>
      <c r="D32" s="8">
        <v>15</v>
      </c>
      <c r="E32" s="8">
        <f>28.21895</f>
        <v>28.21895</v>
      </c>
      <c r="F32" s="7">
        <f t="shared" si="1"/>
        <v>13.21895</v>
      </c>
      <c r="G32" s="8"/>
    </row>
    <row r="33" spans="1:7" hidden="1" x14ac:dyDescent="0.2">
      <c r="A33" s="33"/>
      <c r="B33" s="2" t="s">
        <v>120</v>
      </c>
      <c r="C33" s="8"/>
      <c r="D33" s="8"/>
      <c r="E33" s="8">
        <f>1.954+4.03+5+2.8996</f>
        <v>13.883599999999999</v>
      </c>
      <c r="F33" s="7">
        <f t="shared" si="1"/>
        <v>13.883599999999999</v>
      </c>
      <c r="G33" s="8"/>
    </row>
    <row r="34" spans="1:7" hidden="1" x14ac:dyDescent="0.2">
      <c r="A34" s="33" t="s">
        <v>46</v>
      </c>
      <c r="B34" s="5" t="s">
        <v>47</v>
      </c>
      <c r="C34" s="12">
        <f>SUM(C35:C56)</f>
        <v>1701.0599999999997</v>
      </c>
      <c r="D34" s="12">
        <f>SUM(D35:D56)</f>
        <v>1990.15</v>
      </c>
      <c r="E34" s="12">
        <f>SUM(E35:E56)</f>
        <v>1954.3866700000001</v>
      </c>
      <c r="F34" s="7">
        <f t="shared" si="1"/>
        <v>-35.763329999999996</v>
      </c>
      <c r="G34" s="12">
        <f>SUM(G35:G56)</f>
        <v>2236.4087499999996</v>
      </c>
    </row>
    <row r="35" spans="1:7" hidden="1" x14ac:dyDescent="0.2">
      <c r="A35" s="33" t="s">
        <v>48</v>
      </c>
      <c r="B35" s="2" t="s">
        <v>49</v>
      </c>
      <c r="C35" s="8">
        <v>1030.9000000000001</v>
      </c>
      <c r="D35" s="8">
        <f>[1]ШР!F15/1000</f>
        <v>1167.25</v>
      </c>
      <c r="E35" s="8">
        <f>1065.099+28</f>
        <v>1093.0989999999999</v>
      </c>
      <c r="F35" s="7">
        <f t="shared" si="1"/>
        <v>-74.151000000000067</v>
      </c>
      <c r="G35" s="8">
        <f>' ШР 16'!H15/1000</f>
        <v>1207.5999999999999</v>
      </c>
    </row>
    <row r="36" spans="1:7" hidden="1" x14ac:dyDescent="0.2">
      <c r="A36" s="33" t="s">
        <v>50</v>
      </c>
      <c r="B36" s="2" t="s">
        <v>51</v>
      </c>
      <c r="C36" s="8">
        <v>206.1</v>
      </c>
      <c r="D36" s="8">
        <v>240</v>
      </c>
      <c r="E36" s="8">
        <f>232.5+14.50775</f>
        <v>247.00774999999999</v>
      </c>
      <c r="F36" s="7">
        <f t="shared" si="1"/>
        <v>7.0077499999999873</v>
      </c>
      <c r="G36" s="8">
        <f>E36</f>
        <v>247.00774999999999</v>
      </c>
    </row>
    <row r="37" spans="1:7" hidden="1" x14ac:dyDescent="0.2">
      <c r="A37" s="33" t="s">
        <v>52</v>
      </c>
      <c r="B37" s="2" t="s">
        <v>53</v>
      </c>
      <c r="C37" s="8">
        <v>14.4</v>
      </c>
      <c r="D37" s="8">
        <v>14.4</v>
      </c>
      <c r="E37" s="8">
        <f>1.2*12-0.3</f>
        <v>14.099999999999998</v>
      </c>
      <c r="F37" s="7">
        <f t="shared" si="1"/>
        <v>-0.30000000000000249</v>
      </c>
      <c r="G37" s="8">
        <f>E37</f>
        <v>14.099999999999998</v>
      </c>
    </row>
    <row r="38" spans="1:7" hidden="1" x14ac:dyDescent="0.2">
      <c r="A38" s="33" t="s">
        <v>55</v>
      </c>
      <c r="B38" s="2" t="s">
        <v>56</v>
      </c>
      <c r="C38" s="8"/>
      <c r="D38" s="8">
        <f>10*8</f>
        <v>80</v>
      </c>
      <c r="E38" s="8">
        <v>50</v>
      </c>
      <c r="F38" s="7">
        <f t="shared" si="1"/>
        <v>-30</v>
      </c>
      <c r="G38" s="8">
        <f>120+10</f>
        <v>130</v>
      </c>
    </row>
    <row r="39" spans="1:7" hidden="1" x14ac:dyDescent="0.2">
      <c r="A39" s="33"/>
      <c r="B39" s="2" t="s">
        <v>89</v>
      </c>
      <c r="C39" s="8"/>
      <c r="D39" s="8"/>
      <c r="E39" s="8">
        <f>12+2.94</f>
        <v>14.94</v>
      </c>
      <c r="F39" s="7">
        <f t="shared" si="1"/>
        <v>14.94</v>
      </c>
      <c r="G39" s="8"/>
    </row>
    <row r="40" spans="1:7" hidden="1" x14ac:dyDescent="0.2">
      <c r="A40" s="33" t="s">
        <v>57</v>
      </c>
      <c r="B40" s="2" t="s">
        <v>58</v>
      </c>
      <c r="C40" s="8"/>
      <c r="D40" s="8">
        <v>5</v>
      </c>
      <c r="E40" s="8">
        <f>7+1.6</f>
        <v>8.6</v>
      </c>
      <c r="F40" s="7">
        <f t="shared" si="1"/>
        <v>3.5999999999999996</v>
      </c>
      <c r="G40" s="8">
        <v>2.5</v>
      </c>
    </row>
    <row r="41" spans="1:7" hidden="1" x14ac:dyDescent="0.2">
      <c r="A41" s="33" t="s">
        <v>59</v>
      </c>
      <c r="B41" s="2" t="s">
        <v>60</v>
      </c>
      <c r="C41" s="8">
        <v>36.5</v>
      </c>
      <c r="D41" s="8">
        <v>37</v>
      </c>
      <c r="E41" s="8">
        <v>30</v>
      </c>
      <c r="F41" s="7">
        <f t="shared" si="1"/>
        <v>-7</v>
      </c>
      <c r="G41" s="8">
        <f>E41</f>
        <v>30</v>
      </c>
    </row>
    <row r="42" spans="1:7" ht="25.5" hidden="1" x14ac:dyDescent="0.2">
      <c r="A42" s="33" t="s">
        <v>61</v>
      </c>
      <c r="B42" s="3" t="s">
        <v>62</v>
      </c>
      <c r="C42" s="14">
        <v>17.05</v>
      </c>
      <c r="D42" s="8">
        <v>30</v>
      </c>
      <c r="E42" s="8">
        <f>5.39+30.93+2.424+3.09</f>
        <v>41.834000000000003</v>
      </c>
      <c r="F42" s="7">
        <f t="shared" si="1"/>
        <v>11.834000000000003</v>
      </c>
      <c r="G42" s="8">
        <f>E42</f>
        <v>41.834000000000003</v>
      </c>
    </row>
    <row r="43" spans="1:7" hidden="1" x14ac:dyDescent="0.2">
      <c r="A43" s="33"/>
      <c r="B43" s="3" t="s">
        <v>115</v>
      </c>
      <c r="C43" s="14"/>
      <c r="D43" s="8"/>
      <c r="E43" s="8"/>
      <c r="F43" s="7">
        <f t="shared" si="1"/>
        <v>0</v>
      </c>
      <c r="G43" s="8">
        <v>40.299999999999997</v>
      </c>
    </row>
    <row r="44" spans="1:7" hidden="1" x14ac:dyDescent="0.2">
      <c r="A44" s="33"/>
      <c r="B44" s="3" t="s">
        <v>94</v>
      </c>
      <c r="C44" s="14"/>
      <c r="D44" s="8"/>
      <c r="E44" s="8"/>
      <c r="F44" s="7">
        <f t="shared" si="1"/>
        <v>0</v>
      </c>
      <c r="G44" s="8">
        <v>40</v>
      </c>
    </row>
    <row r="45" spans="1:7" hidden="1" x14ac:dyDescent="0.2">
      <c r="A45" s="33" t="s">
        <v>63</v>
      </c>
      <c r="B45" s="2" t="s">
        <v>64</v>
      </c>
      <c r="C45" s="8">
        <v>129.5</v>
      </c>
      <c r="D45" s="8">
        <v>130</v>
      </c>
      <c r="E45" s="8">
        <v>122.931</v>
      </c>
      <c r="F45" s="7">
        <f t="shared" si="1"/>
        <v>-7.0690000000000026</v>
      </c>
      <c r="G45" s="8">
        <v>120</v>
      </c>
    </row>
    <row r="46" spans="1:7" hidden="1" x14ac:dyDescent="0.2">
      <c r="A46" s="33"/>
      <c r="B46" s="2" t="s">
        <v>112</v>
      </c>
      <c r="C46" s="8"/>
      <c r="D46" s="8"/>
      <c r="E46" s="8"/>
      <c r="F46" s="7">
        <f t="shared" si="1"/>
        <v>0</v>
      </c>
      <c r="G46" s="8">
        <v>45</v>
      </c>
    </row>
    <row r="47" spans="1:7" hidden="1" x14ac:dyDescent="0.2">
      <c r="A47" s="33" t="s">
        <v>65</v>
      </c>
      <c r="B47" s="2" t="s">
        <v>66</v>
      </c>
      <c r="C47" s="8">
        <v>14.99</v>
      </c>
      <c r="D47" s="8">
        <v>15</v>
      </c>
      <c r="E47" s="13">
        <v>2.3884599999999998</v>
      </c>
      <c r="F47" s="7">
        <f t="shared" si="1"/>
        <v>-12.61154</v>
      </c>
      <c r="G47" s="8">
        <f>5</f>
        <v>5</v>
      </c>
    </row>
    <row r="48" spans="1:7" hidden="1" x14ac:dyDescent="0.2">
      <c r="A48" s="33" t="s">
        <v>67</v>
      </c>
      <c r="B48" s="2" t="s">
        <v>68</v>
      </c>
      <c r="C48" s="8">
        <v>68.599999999999994</v>
      </c>
      <c r="D48" s="8">
        <v>55</v>
      </c>
      <c r="E48" s="8">
        <v>113.7</v>
      </c>
      <c r="F48" s="7">
        <f t="shared" si="1"/>
        <v>58.7</v>
      </c>
      <c r="G48" s="8">
        <f>E48</f>
        <v>113.7</v>
      </c>
    </row>
    <row r="49" spans="1:8" hidden="1" x14ac:dyDescent="0.2">
      <c r="A49" s="33" t="s">
        <v>70</v>
      </c>
      <c r="B49" s="2" t="s">
        <v>123</v>
      </c>
      <c r="C49" s="8">
        <f>21.72+4.4</f>
        <v>26.119999999999997</v>
      </c>
      <c r="D49" s="8">
        <v>46</v>
      </c>
      <c r="E49" s="8">
        <f>0.94678+0.4+0.71622+0.982+26.263+3.9+2.8+0.88+0.45+0.9899+0.8112</f>
        <v>39.139099999999999</v>
      </c>
      <c r="F49" s="7">
        <f t="shared" si="1"/>
        <v>-6.8609000000000009</v>
      </c>
      <c r="G49" s="8">
        <v>20</v>
      </c>
    </row>
    <row r="50" spans="1:8" hidden="1" x14ac:dyDescent="0.2">
      <c r="A50" s="33" t="s">
        <v>71</v>
      </c>
      <c r="B50" s="2" t="s">
        <v>99</v>
      </c>
      <c r="C50" s="8">
        <v>6</v>
      </c>
      <c r="D50" s="8">
        <v>7</v>
      </c>
      <c r="E50" s="8">
        <f>2.961+0.669+2.941</f>
        <v>6.5709999999999997</v>
      </c>
      <c r="F50" s="7">
        <f t="shared" si="1"/>
        <v>-0.42900000000000027</v>
      </c>
      <c r="G50" s="8">
        <f>E50</f>
        <v>6.5709999999999997</v>
      </c>
    </row>
    <row r="51" spans="1:8" hidden="1" x14ac:dyDescent="0.2">
      <c r="A51" s="33" t="s">
        <v>72</v>
      </c>
      <c r="B51" s="2" t="s">
        <v>121</v>
      </c>
      <c r="C51" s="8">
        <v>3.3</v>
      </c>
      <c r="D51" s="8">
        <v>4</v>
      </c>
      <c r="E51" s="8">
        <f>3.337</f>
        <v>3.3370000000000002</v>
      </c>
      <c r="F51" s="7">
        <f t="shared" si="1"/>
        <v>-0.66299999999999981</v>
      </c>
      <c r="G51" s="8">
        <f>E51</f>
        <v>3.3370000000000002</v>
      </c>
    </row>
    <row r="52" spans="1:8" hidden="1" x14ac:dyDescent="0.2">
      <c r="A52" s="33" t="s">
        <v>73</v>
      </c>
      <c r="B52" s="2" t="s">
        <v>97</v>
      </c>
      <c r="C52" s="8">
        <f>3.6+0.7</f>
        <v>4.3</v>
      </c>
      <c r="D52" s="8">
        <v>7</v>
      </c>
      <c r="E52" s="8">
        <f>6+0.522+0.737+0.2</f>
        <v>7.4590000000000005</v>
      </c>
      <c r="F52" s="7">
        <f t="shared" si="1"/>
        <v>0.45900000000000052</v>
      </c>
      <c r="G52" s="8">
        <f>E52</f>
        <v>7.4590000000000005</v>
      </c>
    </row>
    <row r="53" spans="1:8" hidden="1" x14ac:dyDescent="0.2">
      <c r="A53" s="33" t="s">
        <v>74</v>
      </c>
      <c r="B53" s="2" t="s">
        <v>75</v>
      </c>
      <c r="C53" s="8">
        <v>29.8</v>
      </c>
      <c r="D53" s="8">
        <v>31.5</v>
      </c>
      <c r="E53" s="8">
        <v>31.644359999999999</v>
      </c>
      <c r="F53" s="7">
        <f t="shared" si="1"/>
        <v>0.14435999999999893</v>
      </c>
      <c r="G53" s="8">
        <v>35</v>
      </c>
    </row>
    <row r="54" spans="1:8" hidden="1" x14ac:dyDescent="0.2">
      <c r="A54" s="33"/>
      <c r="B54" s="2" t="s">
        <v>122</v>
      </c>
      <c r="C54" s="8"/>
      <c r="D54" s="8"/>
      <c r="E54" s="8">
        <v>4.4000000000000004</v>
      </c>
      <c r="F54" s="7">
        <f t="shared" si="1"/>
        <v>4.4000000000000004</v>
      </c>
      <c r="G54" s="8"/>
    </row>
    <row r="55" spans="1:8" hidden="1" x14ac:dyDescent="0.2">
      <c r="A55" s="33" t="s">
        <v>76</v>
      </c>
      <c r="B55" s="2" t="s">
        <v>77</v>
      </c>
      <c r="C55" s="8">
        <v>42.2</v>
      </c>
      <c r="D55" s="8">
        <v>51</v>
      </c>
      <c r="E55" s="8">
        <f>62.1-2.424-3.09</f>
        <v>56.585999999999999</v>
      </c>
      <c r="F55" s="7">
        <f t="shared" si="1"/>
        <v>5.5859999999999985</v>
      </c>
      <c r="G55" s="7">
        <v>57</v>
      </c>
      <c r="H55" s="9"/>
    </row>
    <row r="56" spans="1:8" customFormat="1" ht="15" hidden="1" x14ac:dyDescent="0.25">
      <c r="A56" s="33" t="s">
        <v>102</v>
      </c>
      <c r="B56" s="15" t="s">
        <v>114</v>
      </c>
      <c r="C56" s="8">
        <v>71.3</v>
      </c>
      <c r="D56" s="8">
        <v>70</v>
      </c>
      <c r="E56" s="8">
        <f>64.35+2.3</f>
        <v>66.649999999999991</v>
      </c>
      <c r="F56" s="7">
        <f t="shared" si="1"/>
        <v>-3.3500000000000085</v>
      </c>
      <c r="G56" s="8">
        <v>70</v>
      </c>
    </row>
    <row r="57" spans="1:8" hidden="1" x14ac:dyDescent="0.2">
      <c r="A57" s="33" t="s">
        <v>78</v>
      </c>
      <c r="B57" s="5" t="s">
        <v>79</v>
      </c>
      <c r="C57" s="12">
        <f>C58</f>
        <v>182</v>
      </c>
      <c r="D57" s="12">
        <f t="shared" ref="D57:G57" si="4">D58</f>
        <v>182</v>
      </c>
      <c r="E57" s="12">
        <f t="shared" si="4"/>
        <v>181.202</v>
      </c>
      <c r="F57" s="7">
        <f t="shared" si="1"/>
        <v>-0.79800000000000182</v>
      </c>
      <c r="G57" s="12">
        <f t="shared" si="4"/>
        <v>221.202</v>
      </c>
    </row>
    <row r="58" spans="1:8" hidden="1" x14ac:dyDescent="0.2">
      <c r="A58" s="33" t="s">
        <v>80</v>
      </c>
      <c r="B58" s="2" t="s">
        <v>81</v>
      </c>
      <c r="C58" s="8">
        <v>182</v>
      </c>
      <c r="D58" s="8">
        <v>182</v>
      </c>
      <c r="E58" s="8">
        <f>172.234+8.968</f>
        <v>181.202</v>
      </c>
      <c r="F58" s="7">
        <f t="shared" si="1"/>
        <v>-0.79800000000000182</v>
      </c>
      <c r="G58" s="12">
        <f>E58+2+38</f>
        <v>221.202</v>
      </c>
    </row>
    <row r="59" spans="1:8" customFormat="1" ht="15" x14ac:dyDescent="0.25">
      <c r="A59" s="33"/>
      <c r="B59" s="2" t="s">
        <v>165</v>
      </c>
      <c r="C59" s="8"/>
      <c r="D59" s="12">
        <f>БДР!D54</f>
        <v>100</v>
      </c>
      <c r="E59" s="12">
        <f>БДР!E54</f>
        <v>264.54680000000002</v>
      </c>
      <c r="F59" s="7">
        <f t="shared" si="1"/>
        <v>164.54680000000002</v>
      </c>
      <c r="G59" s="12">
        <f>G60+G61</f>
        <v>28.715</v>
      </c>
    </row>
    <row r="60" spans="1:8" customFormat="1" ht="15" x14ac:dyDescent="0.25">
      <c r="A60" s="33"/>
      <c r="B60" s="15" t="s">
        <v>166</v>
      </c>
      <c r="C60" s="8"/>
      <c r="D60" s="8"/>
      <c r="E60" s="8">
        <f>3.5+8+8.3968+26+128.3+75</f>
        <v>249.1968</v>
      </c>
      <c r="F60" s="7">
        <f t="shared" si="1"/>
        <v>249.1968</v>
      </c>
      <c r="G60" s="8">
        <v>28.715</v>
      </c>
    </row>
    <row r="61" spans="1:8" customFormat="1" ht="15" x14ac:dyDescent="0.25">
      <c r="A61" s="33"/>
      <c r="B61" s="2" t="s">
        <v>167</v>
      </c>
      <c r="C61" s="8"/>
      <c r="D61" s="8"/>
      <c r="E61" s="8">
        <v>15.35</v>
      </c>
      <c r="F61" s="7">
        <f t="shared" si="1"/>
        <v>15.35</v>
      </c>
      <c r="G61" s="8"/>
    </row>
    <row r="62" spans="1:8" customFormat="1" ht="15.75" x14ac:dyDescent="0.25">
      <c r="A62" s="34">
        <v>2.2000000000000002</v>
      </c>
      <c r="B62" s="2" t="s">
        <v>168</v>
      </c>
      <c r="C62" s="28" t="e">
        <f>C63+C64+C65+C66+C67+C71+C72+C73+C74+#REF!</f>
        <v>#REF!</v>
      </c>
      <c r="D62" s="28">
        <f>SUM(D63:D78)</f>
        <v>765</v>
      </c>
      <c r="E62" s="28">
        <f>SUM(E63:E78)</f>
        <v>752.20594000000006</v>
      </c>
      <c r="F62" s="7">
        <f>E62-D62</f>
        <v>-12.794059999999945</v>
      </c>
      <c r="G62" s="28">
        <f>SUM(G63:G78)</f>
        <v>824.7</v>
      </c>
    </row>
    <row r="63" spans="1:8" customFormat="1" ht="15" x14ac:dyDescent="0.25">
      <c r="A63" s="10" t="s">
        <v>83</v>
      </c>
      <c r="B63" s="2" t="s">
        <v>109</v>
      </c>
      <c r="C63" s="8">
        <v>344.2</v>
      </c>
      <c r="D63" s="8">
        <v>380</v>
      </c>
      <c r="E63" s="8">
        <v>410.71874000000003</v>
      </c>
      <c r="F63" s="7">
        <f t="shared" si="1"/>
        <v>30.718740000000025</v>
      </c>
      <c r="G63" s="8">
        <f>30*13</f>
        <v>390</v>
      </c>
    </row>
    <row r="64" spans="1:8" customFormat="1" ht="15" x14ac:dyDescent="0.25">
      <c r="A64" s="10" t="s">
        <v>84</v>
      </c>
      <c r="B64" s="2" t="s">
        <v>110</v>
      </c>
      <c r="C64" s="8">
        <v>68.8</v>
      </c>
      <c r="D64" s="8">
        <v>70</v>
      </c>
      <c r="E64" s="8">
        <v>82.14</v>
      </c>
      <c r="F64" s="7">
        <f t="shared" si="1"/>
        <v>12.14</v>
      </c>
      <c r="G64" s="8">
        <f>G63*23/100</f>
        <v>89.7</v>
      </c>
    </row>
    <row r="65" spans="1:7" x14ac:dyDescent="0.2">
      <c r="A65" s="10" t="s">
        <v>100</v>
      </c>
      <c r="B65" s="2" t="s">
        <v>54</v>
      </c>
      <c r="C65" s="8">
        <v>42.04</v>
      </c>
      <c r="D65" s="8">
        <v>30</v>
      </c>
      <c r="E65" s="8">
        <v>51.243000000000002</v>
      </c>
      <c r="F65" s="7">
        <f t="shared" si="1"/>
        <v>21.243000000000002</v>
      </c>
      <c r="G65" s="8">
        <v>50</v>
      </c>
    </row>
    <row r="66" spans="1:7" customFormat="1" ht="15" x14ac:dyDescent="0.25">
      <c r="A66" s="10" t="s">
        <v>158</v>
      </c>
      <c r="B66" s="2" t="s">
        <v>183</v>
      </c>
      <c r="C66" s="8"/>
      <c r="D66" s="8"/>
      <c r="E66" s="8">
        <f>10.5+1.715</f>
        <v>12.215</v>
      </c>
      <c r="F66" s="7">
        <f t="shared" si="1"/>
        <v>12.215</v>
      </c>
      <c r="G66" s="8">
        <f>20+30</f>
        <v>50</v>
      </c>
    </row>
    <row r="67" spans="1:7" customFormat="1" ht="15" x14ac:dyDescent="0.25">
      <c r="A67" s="10" t="s">
        <v>101</v>
      </c>
      <c r="B67" s="2" t="s">
        <v>119</v>
      </c>
      <c r="C67" s="8">
        <v>25.14</v>
      </c>
      <c r="D67" s="8">
        <v>45</v>
      </c>
      <c r="E67" s="8">
        <f>10.67+6.04+37.107+2.37+3.192</f>
        <v>59.378999999999998</v>
      </c>
      <c r="F67" s="7">
        <f t="shared" si="1"/>
        <v>14.378999999999998</v>
      </c>
      <c r="G67" s="8">
        <v>15</v>
      </c>
    </row>
    <row r="68" spans="1:7" customFormat="1" ht="26.25" x14ac:dyDescent="0.25">
      <c r="A68" s="10" t="s">
        <v>102</v>
      </c>
      <c r="B68" s="3" t="s">
        <v>187</v>
      </c>
      <c r="C68" s="8"/>
      <c r="D68" s="8"/>
      <c r="E68" s="8"/>
      <c r="F68" s="7">
        <f t="shared" si="1"/>
        <v>0</v>
      </c>
      <c r="G68" s="8">
        <v>70</v>
      </c>
    </row>
    <row r="69" spans="1:7" customFormat="1" ht="15" x14ac:dyDescent="0.25">
      <c r="A69" s="10" t="s">
        <v>103</v>
      </c>
      <c r="B69" s="2" t="s">
        <v>117</v>
      </c>
      <c r="C69" s="8"/>
      <c r="D69" s="8"/>
      <c r="E69" s="8">
        <f>1.5*5</f>
        <v>7.5</v>
      </c>
      <c r="F69" s="7">
        <f t="shared" si="1"/>
        <v>7.5</v>
      </c>
      <c r="G69" s="8">
        <v>8</v>
      </c>
    </row>
    <row r="70" spans="1:7" customFormat="1" ht="15" x14ac:dyDescent="0.25">
      <c r="A70" s="10" t="s">
        <v>104</v>
      </c>
      <c r="B70" s="2" t="s">
        <v>118</v>
      </c>
      <c r="C70" s="8"/>
      <c r="D70" s="8"/>
      <c r="E70" s="8">
        <f>1.6*2+1.2+0.75*5</f>
        <v>8.15</v>
      </c>
      <c r="F70" s="7">
        <f t="shared" si="1"/>
        <v>8.15</v>
      </c>
      <c r="G70" s="8"/>
    </row>
    <row r="71" spans="1:7" customFormat="1" ht="15" x14ac:dyDescent="0.25">
      <c r="A71" s="10" t="s">
        <v>105</v>
      </c>
      <c r="B71" s="2" t="s">
        <v>85</v>
      </c>
      <c r="C71" s="8"/>
      <c r="D71" s="8">
        <v>70</v>
      </c>
      <c r="E71" s="8">
        <f>2.8+2.7+15.718+69.3365+4.5+11.947</f>
        <v>107.00150000000001</v>
      </c>
      <c r="F71" s="7">
        <f t="shared" si="1"/>
        <v>37.001500000000007</v>
      </c>
      <c r="G71" s="8">
        <v>5</v>
      </c>
    </row>
    <row r="72" spans="1:7" customFormat="1" ht="15" x14ac:dyDescent="0.25">
      <c r="A72" s="10" t="s">
        <v>106</v>
      </c>
      <c r="B72" s="2" t="s">
        <v>86</v>
      </c>
      <c r="C72" s="8"/>
      <c r="D72" s="8">
        <v>80</v>
      </c>
      <c r="E72" s="8">
        <v>0</v>
      </c>
      <c r="F72" s="7">
        <f t="shared" si="1"/>
        <v>-80</v>
      </c>
      <c r="G72" s="8">
        <v>0</v>
      </c>
    </row>
    <row r="73" spans="1:7" customFormat="1" ht="26.25" x14ac:dyDescent="0.25">
      <c r="A73" s="10" t="s">
        <v>159</v>
      </c>
      <c r="B73" s="3" t="s">
        <v>192</v>
      </c>
      <c r="C73" s="8"/>
      <c r="D73" s="8">
        <v>50</v>
      </c>
      <c r="E73" s="8"/>
      <c r="F73" s="7">
        <f t="shared" si="1"/>
        <v>-50</v>
      </c>
      <c r="G73" s="8">
        <v>32</v>
      </c>
    </row>
    <row r="74" spans="1:7" customFormat="1" ht="15" x14ac:dyDescent="0.25">
      <c r="A74" s="10" t="s">
        <v>160</v>
      </c>
      <c r="B74" s="2" t="s">
        <v>69</v>
      </c>
      <c r="C74" s="8">
        <v>31</v>
      </c>
      <c r="D74" s="8">
        <v>40</v>
      </c>
      <c r="E74" s="8">
        <f>9+4.8587</f>
        <v>13.858699999999999</v>
      </c>
      <c r="F74" s="7">
        <f t="shared" si="1"/>
        <v>-26.141300000000001</v>
      </c>
      <c r="G74" s="8">
        <v>40</v>
      </c>
    </row>
    <row r="75" spans="1:7" customFormat="1" ht="15" x14ac:dyDescent="0.25">
      <c r="A75" s="10" t="s">
        <v>180</v>
      </c>
      <c r="B75" s="2" t="s">
        <v>181</v>
      </c>
      <c r="C75" s="8"/>
      <c r="D75" s="8"/>
      <c r="E75" s="8"/>
      <c r="F75" s="7"/>
      <c r="G75" s="8">
        <v>10</v>
      </c>
    </row>
    <row r="76" spans="1:7" customFormat="1" ht="15" x14ac:dyDescent="0.25">
      <c r="A76" s="10" t="s">
        <v>182</v>
      </c>
      <c r="B76" s="2" t="s">
        <v>188</v>
      </c>
      <c r="C76" s="8"/>
      <c r="D76" s="8"/>
      <c r="E76" s="8"/>
      <c r="F76" s="7"/>
      <c r="G76" s="8">
        <v>25</v>
      </c>
    </row>
    <row r="77" spans="1:7" customFormat="1" ht="26.25" x14ac:dyDescent="0.25">
      <c r="A77" s="10" t="s">
        <v>190</v>
      </c>
      <c r="B77" s="3" t="s">
        <v>189</v>
      </c>
      <c r="C77" s="8"/>
      <c r="D77" s="8"/>
      <c r="E77" s="8"/>
      <c r="F77" s="8"/>
      <c r="G77" s="8">
        <v>25</v>
      </c>
    </row>
    <row r="78" spans="1:7" ht="25.5" x14ac:dyDescent="0.2">
      <c r="A78" s="10" t="s">
        <v>191</v>
      </c>
      <c r="B78" s="3" t="s">
        <v>186</v>
      </c>
      <c r="C78" s="8"/>
      <c r="D78" s="8"/>
      <c r="E78" s="8"/>
      <c r="F78" s="40"/>
      <c r="G78" s="8">
        <v>15</v>
      </c>
    </row>
    <row r="79" spans="1:7" x14ac:dyDescent="0.2">
      <c r="B79" s="1" t="s">
        <v>169</v>
      </c>
      <c r="D79" s="41">
        <f>D4-D15</f>
        <v>-395.40000000000055</v>
      </c>
      <c r="E79" s="41">
        <f>E4-E15</f>
        <v>-268.90076000000045</v>
      </c>
      <c r="F79" s="41"/>
      <c r="G79" s="41">
        <f>G4-G15</f>
        <v>-28.414999999999964</v>
      </c>
    </row>
  </sheetData>
  <mergeCells count="1">
    <mergeCell ref="B1:D1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4" sqref="C14"/>
    </sheetView>
  </sheetViews>
  <sheetFormatPr defaultRowHeight="15" x14ac:dyDescent="0.25"/>
  <cols>
    <col min="1" max="1" width="22.140625" customWidth="1"/>
    <col min="2" max="2" width="18" hidden="1" customWidth="1"/>
    <col min="3" max="3" width="34.85546875" customWidth="1"/>
    <col min="4" max="4" width="12" customWidth="1"/>
    <col min="5" max="5" width="21.5703125" hidden="1" customWidth="1"/>
    <col min="6" max="6" width="12" hidden="1" customWidth="1"/>
    <col min="7" max="8" width="12" customWidth="1"/>
    <col min="9" max="9" width="22.7109375" customWidth="1"/>
    <col min="10" max="10" width="13.85546875" customWidth="1"/>
  </cols>
  <sheetData>
    <row r="1" spans="1:9" x14ac:dyDescent="0.25">
      <c r="C1" s="17" t="s">
        <v>207</v>
      </c>
    </row>
    <row r="4" spans="1:9" ht="45" x14ac:dyDescent="0.25">
      <c r="A4" s="18" t="s">
        <v>125</v>
      </c>
      <c r="B4" s="19" t="s">
        <v>126</v>
      </c>
      <c r="C4" s="19" t="s">
        <v>127</v>
      </c>
      <c r="D4" s="18" t="s">
        <v>128</v>
      </c>
      <c r="E4" s="19" t="s">
        <v>129</v>
      </c>
      <c r="F4" s="18" t="s">
        <v>130</v>
      </c>
      <c r="G4" s="19" t="s">
        <v>146</v>
      </c>
      <c r="H4" s="18" t="s">
        <v>147</v>
      </c>
      <c r="I4" s="18" t="s">
        <v>131</v>
      </c>
    </row>
    <row r="5" spans="1:9" x14ac:dyDescent="0.25">
      <c r="A5" s="20" t="s">
        <v>132</v>
      </c>
      <c r="B5" s="20">
        <v>10000</v>
      </c>
      <c r="C5" s="21">
        <v>15000</v>
      </c>
      <c r="D5" s="21"/>
      <c r="E5" s="21">
        <v>7500</v>
      </c>
      <c r="F5" s="21">
        <f>B5*3+C5*9+D5*8+E5</f>
        <v>172500</v>
      </c>
      <c r="G5" s="21">
        <v>7500</v>
      </c>
      <c r="H5" s="21">
        <f>C5*12+D5*12+G5</f>
        <v>187500</v>
      </c>
      <c r="I5" s="20"/>
    </row>
    <row r="6" spans="1:9" ht="45" x14ac:dyDescent="0.25">
      <c r="A6" s="20" t="s">
        <v>133</v>
      </c>
      <c r="B6" s="20">
        <v>15000</v>
      </c>
      <c r="C6" s="21">
        <v>15000</v>
      </c>
      <c r="D6" s="21">
        <v>5000</v>
      </c>
      <c r="E6" s="21">
        <v>7500</v>
      </c>
      <c r="F6" s="21">
        <f t="shared" ref="F6:F10" si="0">B6*3+C6*9+D6*8+E6</f>
        <v>227500</v>
      </c>
      <c r="G6" s="21">
        <v>7500</v>
      </c>
      <c r="H6" s="21">
        <f t="shared" ref="H6:H11" si="1">C6*12+D6*12+G6</f>
        <v>247500</v>
      </c>
      <c r="I6" s="22" t="s">
        <v>134</v>
      </c>
    </row>
    <row r="7" spans="1:9" x14ac:dyDescent="0.25">
      <c r="A7" s="20" t="s">
        <v>135</v>
      </c>
      <c r="B7" s="20">
        <v>13800</v>
      </c>
      <c r="C7" s="21">
        <v>13800</v>
      </c>
      <c r="D7" s="21"/>
      <c r="E7" s="21"/>
      <c r="F7" s="21">
        <f t="shared" si="0"/>
        <v>165600</v>
      </c>
      <c r="G7" s="21">
        <f>C7/2</f>
        <v>6900</v>
      </c>
      <c r="H7" s="21">
        <f t="shared" si="1"/>
        <v>172500</v>
      </c>
      <c r="I7" s="20"/>
    </row>
    <row r="8" spans="1:9" x14ac:dyDescent="0.25">
      <c r="A8" s="20" t="s">
        <v>136</v>
      </c>
      <c r="B8" s="20">
        <v>3500</v>
      </c>
      <c r="C8" s="21">
        <v>3500</v>
      </c>
      <c r="D8" s="21"/>
      <c r="E8" s="21"/>
      <c r="F8" s="21">
        <f t="shared" si="0"/>
        <v>42000</v>
      </c>
      <c r="G8" s="21"/>
      <c r="H8" s="21">
        <f t="shared" si="1"/>
        <v>42000</v>
      </c>
      <c r="I8" s="20"/>
    </row>
    <row r="9" spans="1:9" x14ac:dyDescent="0.25">
      <c r="A9" s="20" t="s">
        <v>137</v>
      </c>
      <c r="B9" s="20">
        <v>3500</v>
      </c>
      <c r="C9" s="21">
        <v>4500</v>
      </c>
      <c r="D9" s="21"/>
      <c r="E9" s="21">
        <f>C9/2</f>
        <v>2250</v>
      </c>
      <c r="F9" s="21">
        <f t="shared" si="0"/>
        <v>53250</v>
      </c>
      <c r="G9" s="21">
        <v>4500</v>
      </c>
      <c r="H9" s="21">
        <f t="shared" si="1"/>
        <v>58500</v>
      </c>
      <c r="I9" s="20"/>
    </row>
    <row r="10" spans="1:9" x14ac:dyDescent="0.25">
      <c r="A10" s="20" t="s">
        <v>138</v>
      </c>
      <c r="B10" s="20">
        <v>14000</v>
      </c>
      <c r="C10" s="21">
        <v>14000</v>
      </c>
      <c r="D10" s="21"/>
      <c r="E10" s="21">
        <v>14000</v>
      </c>
      <c r="F10" s="21">
        <f t="shared" si="0"/>
        <v>182000</v>
      </c>
      <c r="G10" s="21"/>
      <c r="H10" s="21">
        <f t="shared" si="1"/>
        <v>168000</v>
      </c>
      <c r="I10" s="20"/>
    </row>
    <row r="11" spans="1:9" ht="45" x14ac:dyDescent="0.25">
      <c r="A11" s="20" t="s">
        <v>139</v>
      </c>
      <c r="B11" s="20">
        <v>6900</v>
      </c>
      <c r="C11" s="21">
        <v>6900</v>
      </c>
      <c r="D11" s="21">
        <v>1500</v>
      </c>
      <c r="E11" s="21">
        <v>6900</v>
      </c>
      <c r="F11" s="21">
        <f>B11*3+C11*9+D11*9+E11</f>
        <v>103200</v>
      </c>
      <c r="G11" s="21">
        <f>C11</f>
        <v>6900</v>
      </c>
      <c r="H11" s="21">
        <f t="shared" si="1"/>
        <v>107700</v>
      </c>
      <c r="I11" s="22" t="s">
        <v>140</v>
      </c>
    </row>
    <row r="12" spans="1:9" ht="30" x14ac:dyDescent="0.25">
      <c r="A12" s="20" t="s">
        <v>141</v>
      </c>
      <c r="B12" s="20">
        <v>11500</v>
      </c>
      <c r="C12" s="21">
        <v>11500</v>
      </c>
      <c r="D12" s="21">
        <f>3400</f>
        <v>3400</v>
      </c>
      <c r="E12" s="21">
        <v>11500</v>
      </c>
      <c r="F12" s="21">
        <f>B12*3+C12*9+D12*6+E12</f>
        <v>169900</v>
      </c>
      <c r="G12" s="21">
        <v>11500</v>
      </c>
      <c r="H12" s="21">
        <f>C12*12+D12*5+G12</f>
        <v>166500</v>
      </c>
      <c r="I12" s="22" t="s">
        <v>142</v>
      </c>
    </row>
    <row r="13" spans="1:9" ht="45" x14ac:dyDescent="0.25">
      <c r="A13" s="22" t="s">
        <v>143</v>
      </c>
      <c r="B13" s="20"/>
      <c r="C13" s="21">
        <v>4000</v>
      </c>
      <c r="D13" s="21"/>
      <c r="E13" s="21"/>
      <c r="F13" s="21">
        <f>B13*4+C13*8+D13*6+E13</f>
        <v>32000</v>
      </c>
      <c r="G13" s="21"/>
      <c r="H13" s="21">
        <f>C13*4+D13*4+G13</f>
        <v>16000</v>
      </c>
      <c r="I13" s="22" t="s">
        <v>144</v>
      </c>
    </row>
    <row r="14" spans="1:9" x14ac:dyDescent="0.25">
      <c r="A14" s="20" t="s">
        <v>148</v>
      </c>
      <c r="B14" s="20">
        <v>0</v>
      </c>
      <c r="C14" s="21">
        <v>4600</v>
      </c>
      <c r="D14" s="21"/>
      <c r="E14" s="21"/>
      <c r="F14" s="21">
        <f>B14*4+C14*8+D14*8+E14</f>
        <v>36800</v>
      </c>
      <c r="G14" s="21"/>
      <c r="H14" s="21">
        <f>C14*9+D14*12+G14</f>
        <v>41400</v>
      </c>
      <c r="I14" s="20"/>
    </row>
    <row r="15" spans="1:9" x14ac:dyDescent="0.25">
      <c r="A15" s="20" t="s">
        <v>145</v>
      </c>
      <c r="B15" s="20"/>
      <c r="C15" s="21">
        <f>SUM(C5:C14)</f>
        <v>92800</v>
      </c>
      <c r="D15" s="21">
        <f t="shared" ref="D15:G15" si="2">SUM(D5:D14)</f>
        <v>9900</v>
      </c>
      <c r="E15" s="21">
        <f t="shared" si="2"/>
        <v>49650</v>
      </c>
      <c r="F15" s="21">
        <f t="shared" si="2"/>
        <v>1184750</v>
      </c>
      <c r="G15" s="21">
        <f t="shared" si="2"/>
        <v>44800</v>
      </c>
      <c r="H15" s="21">
        <f>SUM(H5:H14)</f>
        <v>1207600</v>
      </c>
      <c r="I15" s="20"/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7" sqref="G7"/>
    </sheetView>
  </sheetViews>
  <sheetFormatPr defaultRowHeight="15" x14ac:dyDescent="0.25"/>
  <cols>
    <col min="1" max="1" width="22.140625" customWidth="1"/>
    <col min="2" max="2" width="18" hidden="1" customWidth="1"/>
    <col min="3" max="3" width="34.85546875" customWidth="1"/>
    <col min="4" max="4" width="12" customWidth="1"/>
    <col min="5" max="5" width="21.5703125" hidden="1" customWidth="1"/>
    <col min="6" max="6" width="12" hidden="1" customWidth="1"/>
    <col min="7" max="8" width="12" customWidth="1"/>
    <col min="9" max="9" width="22.7109375" customWidth="1"/>
    <col min="10" max="10" width="13.85546875" customWidth="1"/>
  </cols>
  <sheetData>
    <row r="1" spans="1:9" x14ac:dyDescent="0.25">
      <c r="C1" s="17" t="s">
        <v>206</v>
      </c>
    </row>
    <row r="4" spans="1:9" ht="45" x14ac:dyDescent="0.25">
      <c r="A4" s="18" t="s">
        <v>125</v>
      </c>
      <c r="B4" s="19" t="s">
        <v>126</v>
      </c>
      <c r="C4" s="19" t="s">
        <v>127</v>
      </c>
      <c r="D4" s="18" t="s">
        <v>128</v>
      </c>
      <c r="E4" s="19" t="s">
        <v>129</v>
      </c>
      <c r="F4" s="18" t="s">
        <v>130</v>
      </c>
      <c r="G4" s="19" t="s">
        <v>146</v>
      </c>
      <c r="H4" s="18" t="s">
        <v>147</v>
      </c>
      <c r="I4" s="18" t="s">
        <v>131</v>
      </c>
    </row>
    <row r="5" spans="1:9" x14ac:dyDescent="0.25">
      <c r="A5" s="20" t="s">
        <v>132</v>
      </c>
      <c r="B5" s="20">
        <v>10000</v>
      </c>
      <c r="C5" s="21">
        <f>15000*1.04</f>
        <v>15600</v>
      </c>
      <c r="D5" s="21"/>
      <c r="E5" s="21">
        <v>7500</v>
      </c>
      <c r="F5" s="21">
        <f>B5*3+C5*9+D5*8+E5</f>
        <v>177900</v>
      </c>
      <c r="G5" s="21">
        <f>7500*1.04</f>
        <v>7800</v>
      </c>
      <c r="H5" s="21">
        <f>C5*12+D5*12+G5</f>
        <v>195000</v>
      </c>
      <c r="I5" s="20"/>
    </row>
    <row r="6" spans="1:9" ht="45" x14ac:dyDescent="0.25">
      <c r="A6" s="20" t="s">
        <v>133</v>
      </c>
      <c r="B6" s="20">
        <v>15000</v>
      </c>
      <c r="C6" s="21">
        <f>15000*1.04</f>
        <v>15600</v>
      </c>
      <c r="D6" s="21">
        <f>5000*1.04</f>
        <v>5200</v>
      </c>
      <c r="E6" s="21">
        <v>7500</v>
      </c>
      <c r="F6" s="21">
        <f t="shared" ref="F6:F10" si="0">B6*3+C6*9+D6*8+E6</f>
        <v>234500</v>
      </c>
      <c r="G6" s="21">
        <f>7500*1.04</f>
        <v>7800</v>
      </c>
      <c r="H6" s="21">
        <f t="shared" ref="H6:H11" si="1">C6*12+D6*12+G6</f>
        <v>257400</v>
      </c>
      <c r="I6" s="22" t="s">
        <v>134</v>
      </c>
    </row>
    <row r="7" spans="1:9" x14ac:dyDescent="0.25">
      <c r="A7" s="20" t="s">
        <v>135</v>
      </c>
      <c r="B7" s="20">
        <v>13800</v>
      </c>
      <c r="C7" s="21">
        <f>13800*1.04</f>
        <v>14352</v>
      </c>
      <c r="D7" s="21"/>
      <c r="E7" s="21"/>
      <c r="F7" s="21">
        <f t="shared" si="0"/>
        <v>170568</v>
      </c>
      <c r="G7" s="21">
        <f>C7/2</f>
        <v>7176</v>
      </c>
      <c r="H7" s="21">
        <f t="shared" si="1"/>
        <v>179400</v>
      </c>
      <c r="I7" s="20"/>
    </row>
    <row r="8" spans="1:9" x14ac:dyDescent="0.25">
      <c r="A8" s="20" t="s">
        <v>136</v>
      </c>
      <c r="B8" s="20">
        <v>3500</v>
      </c>
      <c r="C8" s="21">
        <f>3500*1.04</f>
        <v>3640</v>
      </c>
      <c r="D8" s="21"/>
      <c r="E8" s="21"/>
      <c r="F8" s="21">
        <f t="shared" si="0"/>
        <v>43260</v>
      </c>
      <c r="G8" s="21">
        <f>C8</f>
        <v>3640</v>
      </c>
      <c r="H8" s="21">
        <f t="shared" si="1"/>
        <v>47320</v>
      </c>
      <c r="I8" s="20"/>
    </row>
    <row r="9" spans="1:9" x14ac:dyDescent="0.25">
      <c r="A9" s="20" t="s">
        <v>137</v>
      </c>
      <c r="B9" s="20">
        <v>3500</v>
      </c>
      <c r="C9" s="21">
        <f>4500*1.04</f>
        <v>4680</v>
      </c>
      <c r="D9" s="21"/>
      <c r="E9" s="21">
        <f>C9/2</f>
        <v>2340</v>
      </c>
      <c r="F9" s="21">
        <f t="shared" si="0"/>
        <v>54960</v>
      </c>
      <c r="G9" s="21">
        <f>4500*1.04</f>
        <v>4680</v>
      </c>
      <c r="H9" s="21">
        <f t="shared" si="1"/>
        <v>60840</v>
      </c>
      <c r="I9" s="20"/>
    </row>
    <row r="10" spans="1:9" x14ac:dyDescent="0.25">
      <c r="A10" s="20" t="s">
        <v>138</v>
      </c>
      <c r="B10" s="20">
        <v>14000</v>
      </c>
      <c r="C10" s="21">
        <f>14000*1.04</f>
        <v>14560</v>
      </c>
      <c r="D10" s="21"/>
      <c r="E10" s="21">
        <v>14000</v>
      </c>
      <c r="F10" s="21">
        <f t="shared" si="0"/>
        <v>187040</v>
      </c>
      <c r="G10" s="21">
        <f>C10</f>
        <v>14560</v>
      </c>
      <c r="H10" s="21">
        <f t="shared" si="1"/>
        <v>189280</v>
      </c>
      <c r="I10" s="20"/>
    </row>
    <row r="11" spans="1:9" ht="45" x14ac:dyDescent="0.25">
      <c r="A11" s="20" t="s">
        <v>139</v>
      </c>
      <c r="B11" s="20">
        <v>6900</v>
      </c>
      <c r="C11" s="21">
        <f>6900*1.04</f>
        <v>7176</v>
      </c>
      <c r="D11" s="21">
        <f>1500*1.04</f>
        <v>1560</v>
      </c>
      <c r="E11" s="21">
        <v>6900</v>
      </c>
      <c r="F11" s="21">
        <f>B11*3+C11*9+D11*9+E11</f>
        <v>106224</v>
      </c>
      <c r="G11" s="21">
        <f>C11</f>
        <v>7176</v>
      </c>
      <c r="H11" s="21">
        <f t="shared" si="1"/>
        <v>112008</v>
      </c>
      <c r="I11" s="22" t="s">
        <v>140</v>
      </c>
    </row>
    <row r="12" spans="1:9" ht="30" x14ac:dyDescent="0.25">
      <c r="A12" s="20" t="s">
        <v>141</v>
      </c>
      <c r="B12" s="20">
        <v>11500</v>
      </c>
      <c r="C12" s="21">
        <f>11500*1.04</f>
        <v>11960</v>
      </c>
      <c r="D12" s="21">
        <f>3400*1.04</f>
        <v>3536</v>
      </c>
      <c r="E12" s="21">
        <v>11500</v>
      </c>
      <c r="F12" s="21">
        <f>B12*3+C12*9+D12*6+E12</f>
        <v>174856</v>
      </c>
      <c r="G12" s="21">
        <f>C12</f>
        <v>11960</v>
      </c>
      <c r="H12" s="21">
        <f>C12*12+D12*5+G12</f>
        <v>173160</v>
      </c>
      <c r="I12" s="22" t="s">
        <v>142</v>
      </c>
    </row>
    <row r="13" spans="1:9" ht="45" x14ac:dyDescent="0.25">
      <c r="A13" s="22" t="s">
        <v>143</v>
      </c>
      <c r="B13" s="20"/>
      <c r="C13" s="21">
        <f>4000*1.2</f>
        <v>4800</v>
      </c>
      <c r="D13" s="21"/>
      <c r="E13" s="21"/>
      <c r="F13" s="21">
        <f>B13*4+C13*8+D13*6+E13</f>
        <v>38400</v>
      </c>
      <c r="G13" s="21"/>
      <c r="H13" s="21">
        <f>C13*4+D13*4+G13</f>
        <v>19200</v>
      </c>
      <c r="I13" s="22" t="s">
        <v>144</v>
      </c>
    </row>
    <row r="14" spans="1:9" x14ac:dyDescent="0.25">
      <c r="A14" s="20" t="s">
        <v>148</v>
      </c>
      <c r="B14" s="20">
        <v>0</v>
      </c>
      <c r="C14" s="21">
        <f>4600*1.04</f>
        <v>4784</v>
      </c>
      <c r="D14" s="21"/>
      <c r="E14" s="21"/>
      <c r="F14" s="21">
        <f>B14*4+C14*8+D14*8+E14</f>
        <v>38272</v>
      </c>
      <c r="G14" s="21"/>
      <c r="H14" s="21">
        <f>C14*9+D14*12+G14</f>
        <v>43056</v>
      </c>
      <c r="I14" s="20"/>
    </row>
    <row r="15" spans="1:9" x14ac:dyDescent="0.25">
      <c r="A15" s="20" t="s">
        <v>145</v>
      </c>
      <c r="B15" s="20"/>
      <c r="C15" s="21">
        <f>SUM(C5:C14)</f>
        <v>97152</v>
      </c>
      <c r="D15" s="21">
        <f t="shared" ref="D15:G15" si="2">SUM(D5:D14)</f>
        <v>10296</v>
      </c>
      <c r="E15" s="21">
        <f t="shared" si="2"/>
        <v>49740</v>
      </c>
      <c r="F15" s="21">
        <f t="shared" si="2"/>
        <v>1225980</v>
      </c>
      <c r="G15" s="21">
        <f t="shared" si="2"/>
        <v>64792</v>
      </c>
      <c r="H15" s="21">
        <f>SUM(H5:H14)</f>
        <v>1276664</v>
      </c>
      <c r="I15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workbookViewId="0">
      <selection activeCell="B46" sqref="B46"/>
    </sheetView>
  </sheetViews>
  <sheetFormatPr defaultRowHeight="15" x14ac:dyDescent="0.25"/>
  <cols>
    <col min="1" max="1" width="9.140625" hidden="1" customWidth="1"/>
    <col min="2" max="2" width="31.85546875" customWidth="1"/>
    <col min="3" max="3" width="6.140625" hidden="1" customWidth="1"/>
    <col min="5" max="5" width="18.85546875" bestFit="1" customWidth="1"/>
    <col min="6" max="6" width="15.85546875" bestFit="1" customWidth="1"/>
    <col min="7" max="7" width="16.85546875" customWidth="1"/>
    <col min="9" max="9" width="26.140625" customWidth="1"/>
  </cols>
  <sheetData>
    <row r="1" spans="2:9" x14ac:dyDescent="0.25">
      <c r="G1">
        <v>10245</v>
      </c>
    </row>
    <row r="4" spans="2:9" x14ac:dyDescent="0.25">
      <c r="B4" s="17" t="s">
        <v>179</v>
      </c>
    </row>
    <row r="6" spans="2:9" ht="15.75" x14ac:dyDescent="0.25">
      <c r="B6" s="30" t="s">
        <v>171</v>
      </c>
      <c r="C6" s="30">
        <v>2014</v>
      </c>
      <c r="D6" s="30">
        <v>2015</v>
      </c>
      <c r="E6" s="30" t="s">
        <v>178</v>
      </c>
      <c r="F6" s="20" t="s">
        <v>177</v>
      </c>
      <c r="G6" s="20" t="s">
        <v>233</v>
      </c>
      <c r="H6" s="53" t="s">
        <v>234</v>
      </c>
      <c r="I6" s="53" t="s">
        <v>239</v>
      </c>
    </row>
    <row r="7" spans="2:9" ht="15.75" x14ac:dyDescent="0.25">
      <c r="B7" s="30"/>
      <c r="C7" s="38"/>
      <c r="D7" s="38"/>
      <c r="E7" s="38"/>
      <c r="F7" s="20"/>
      <c r="G7" s="20"/>
      <c r="H7" s="20"/>
      <c r="I7" s="20"/>
    </row>
    <row r="8" spans="2:9" ht="15.75" x14ac:dyDescent="0.25">
      <c r="B8" s="30" t="s">
        <v>172</v>
      </c>
      <c r="C8" s="38">
        <f>SUM(C9:C12)</f>
        <v>20.320000000000004</v>
      </c>
      <c r="D8" s="38">
        <f>SUM(D9:D12)</f>
        <v>21.826838487972513</v>
      </c>
      <c r="E8" s="38">
        <f>SUM(E9:E12)</f>
        <v>21.826838487972513</v>
      </c>
      <c r="F8" s="38">
        <v>24.59</v>
      </c>
      <c r="G8" s="52">
        <f>SUM(G9:G12)</f>
        <v>25.810000000000002</v>
      </c>
      <c r="H8" s="52">
        <f>(G8-F8)/F8*100</f>
        <v>4.9613664091094041</v>
      </c>
      <c r="I8" s="20"/>
    </row>
    <row r="9" spans="2:9" ht="15.75" x14ac:dyDescent="0.25">
      <c r="B9" s="30" t="s">
        <v>173</v>
      </c>
      <c r="C9" s="38">
        <v>1.1100000000000001</v>
      </c>
      <c r="D9" s="38">
        <v>1.6168384879725086</v>
      </c>
      <c r="E9" s="38">
        <v>1.6168384879725086</v>
      </c>
      <c r="F9" s="38">
        <f>(БДР!G4*1000-1.62*10245.14*3)/10245.14/9</f>
        <v>1.6182048767621633</v>
      </c>
      <c r="G9" s="52">
        <v>1.62</v>
      </c>
      <c r="H9" s="52">
        <v>0</v>
      </c>
      <c r="I9" s="20">
        <f>F9*10250.58+G9*10250.58*11</f>
        <v>199252.8741456407</v>
      </c>
    </row>
    <row r="10" spans="2:9" ht="15.75" x14ac:dyDescent="0.25">
      <c r="B10" s="30" t="s">
        <v>174</v>
      </c>
      <c r="C10" s="38">
        <v>3.7</v>
      </c>
      <c r="D10" s="38">
        <v>3.7</v>
      </c>
      <c r="E10" s="38">
        <v>3.7</v>
      </c>
      <c r="F10" s="38">
        <f>(БДР!G5*1000-3.7*10245.14*3)/10245.14/9</f>
        <v>4.1784467345275695</v>
      </c>
      <c r="G10" s="52">
        <v>4.25</v>
      </c>
      <c r="H10" s="52">
        <f t="shared" ref="H10:H12" si="0">(G10-F10)/F10*100</f>
        <v>1.7124369417268768</v>
      </c>
      <c r="I10" s="20">
        <f t="shared" ref="I10:I12" si="1">F10*10250.58+G10*10250.58*11</f>
        <v>522046.11752801359</v>
      </c>
    </row>
    <row r="11" spans="2:9" ht="15.75" x14ac:dyDescent="0.25">
      <c r="B11" s="30" t="s">
        <v>175</v>
      </c>
      <c r="C11" s="38">
        <v>15</v>
      </c>
      <c r="D11" s="38">
        <v>15</v>
      </c>
      <c r="E11" s="38">
        <v>15</v>
      </c>
      <c r="F11" s="38">
        <f>(БДР!G6*1000-15*10245.14*3-150000)/10245.14/9</f>
        <v>17.065473103453066</v>
      </c>
      <c r="G11" s="52">
        <v>17.5</v>
      </c>
      <c r="H11" s="52">
        <f t="shared" si="0"/>
        <v>2.5462341062142091</v>
      </c>
      <c r="I11" s="20">
        <f t="shared" si="1"/>
        <v>2148167.6472847937</v>
      </c>
    </row>
    <row r="12" spans="2:9" ht="15.75" x14ac:dyDescent="0.25">
      <c r="B12" s="30" t="s">
        <v>176</v>
      </c>
      <c r="C12" s="38">
        <v>0.51</v>
      </c>
      <c r="D12" s="38">
        <v>1.51</v>
      </c>
      <c r="E12" s="38">
        <v>1.51</v>
      </c>
      <c r="F12" s="38">
        <f>(БДР!G7*1000-1.51*10245.14*3)/10245.14/9</f>
        <v>1.8956577980714107</v>
      </c>
      <c r="G12" s="52">
        <v>2.44</v>
      </c>
      <c r="H12" s="52">
        <f t="shared" si="0"/>
        <v>28.715214448640879</v>
      </c>
      <c r="I12" s="20">
        <f t="shared" si="1"/>
        <v>294557.15911175485</v>
      </c>
    </row>
    <row r="13" spans="2:9" ht="15.75" x14ac:dyDescent="0.25">
      <c r="B13" s="53" t="s">
        <v>240</v>
      </c>
      <c r="C13" s="20"/>
      <c r="D13" s="20"/>
      <c r="E13" s="20"/>
      <c r="F13" s="20">
        <v>36</v>
      </c>
      <c r="G13" s="52">
        <v>36</v>
      </c>
      <c r="H13" s="20">
        <v>0</v>
      </c>
      <c r="I13" s="20">
        <v>38000</v>
      </c>
    </row>
    <row r="14" spans="2:9" hidden="1" x14ac:dyDescent="0.25">
      <c r="F14">
        <f>D8*80</f>
        <v>1746.1470790378009</v>
      </c>
    </row>
    <row r="15" spans="2:9" hidden="1" x14ac:dyDescent="0.25">
      <c r="F15">
        <f>F8*80</f>
        <v>1967.2</v>
      </c>
    </row>
    <row r="16" spans="2:9" hidden="1" x14ac:dyDescent="0.25">
      <c r="F16">
        <f>F15-F14</f>
        <v>221.0529209621991</v>
      </c>
    </row>
    <row r="17" spans="2:9" hidden="1" x14ac:dyDescent="0.25"/>
    <row r="18" spans="2:9" x14ac:dyDescent="0.25">
      <c r="B18" t="s">
        <v>241</v>
      </c>
      <c r="E18" s="39"/>
      <c r="G18">
        <v>0.11</v>
      </c>
      <c r="I18">
        <f>G18*10250.58*12</f>
        <v>13530.765599999999</v>
      </c>
    </row>
    <row r="19" spans="2:9" x14ac:dyDescent="0.25">
      <c r="B19" t="s">
        <v>242</v>
      </c>
      <c r="G19">
        <v>0.62</v>
      </c>
      <c r="I19">
        <f>G19*10250.58*12</f>
        <v>76264.315199999997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Вместе</vt:lpstr>
      <vt:lpstr>БДР</vt:lpstr>
      <vt:lpstr>предприн деят</vt:lpstr>
      <vt:lpstr>Общий</vt:lpstr>
      <vt:lpstr> ШР 16</vt:lpstr>
      <vt:lpstr>ШР 17</vt:lpstr>
      <vt:lpstr>тарифы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2017-01-22T09:34:01Z</dcterms:modified>
</cp:coreProperties>
</file>